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2023\chino\Informes estadísticos\informacion\"/>
    </mc:Choice>
  </mc:AlternateContent>
  <xr:revisionPtr revIDLastSave="0" documentId="13_ncr:1_{B4A53ED4-0D2D-48E9-890B-B5B2A64398C8}" xr6:coauthVersionLast="47" xr6:coauthVersionMax="47" xr10:uidLastSave="{00000000-0000-0000-0000-000000000000}"/>
  <bookViews>
    <workbookView xWindow="-120" yWindow="-120" windowWidth="20730" windowHeight="11160" xr2:uid="{D74AB3B8-AB0D-4E52-A039-BC733AEE8F2B}"/>
  </bookViews>
  <sheets>
    <sheet name="FICHAS MUNICIPIOS" sheetId="3" r:id="rId1"/>
    <sheet name="base" sheetId="4" r:id="rId2"/>
  </sheets>
  <definedNames>
    <definedName name="_xlnm._FilterDatabase" localSheetId="1" hidden="1">base!$A$2:$BC$128</definedName>
    <definedName name="_xlnm.Print_Area" localSheetId="0">'FICHAS MUNICIPIOS'!$A$1:$F$28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4" l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 l="1"/>
  <c r="L5" i="4" l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E17" i="3"/>
  <c r="E13" i="3"/>
  <c r="E9" i="3"/>
  <c r="E5" i="3"/>
  <c r="F23" i="3"/>
  <c r="E23" i="3"/>
  <c r="C23" i="3"/>
  <c r="F19" i="3"/>
  <c r="E19" i="3"/>
  <c r="C19" i="3"/>
  <c r="F15" i="3"/>
  <c r="E15" i="3"/>
  <c r="C15" i="3"/>
  <c r="F11" i="3"/>
  <c r="E11" i="3"/>
  <c r="C11" i="3"/>
  <c r="F7" i="3"/>
  <c r="E7" i="3"/>
  <c r="C7" i="3"/>
  <c r="F22" i="3"/>
  <c r="E22" i="3"/>
  <c r="C22" i="3"/>
  <c r="F18" i="3"/>
  <c r="E18" i="3"/>
  <c r="C18" i="3"/>
  <c r="F14" i="3"/>
  <c r="E14" i="3"/>
  <c r="C14" i="3"/>
  <c r="F10" i="3"/>
  <c r="E10" i="3"/>
  <c r="C10" i="3"/>
  <c r="F6" i="3"/>
  <c r="E6" i="3"/>
  <c r="C6" i="3"/>
  <c r="F21" i="3"/>
  <c r="E21" i="3"/>
  <c r="C21" i="3"/>
  <c r="F17" i="3"/>
  <c r="C17" i="3"/>
  <c r="F13" i="3"/>
  <c r="C13" i="3"/>
  <c r="F9" i="3"/>
  <c r="C9" i="3"/>
  <c r="F5" i="3"/>
  <c r="C5" i="3"/>
  <c r="Q130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5" i="4"/>
  <c r="BR4" i="4"/>
  <c r="BS4" i="4"/>
  <c r="BT4" i="4"/>
  <c r="BR5" i="4"/>
  <c r="BS5" i="4"/>
  <c r="BT5" i="4"/>
  <c r="BR6" i="4"/>
  <c r="BS6" i="4"/>
  <c r="BT6" i="4"/>
  <c r="BR7" i="4"/>
  <c r="BS7" i="4"/>
  <c r="BT7" i="4"/>
  <c r="BR8" i="4"/>
  <c r="BS8" i="4"/>
  <c r="BT8" i="4"/>
  <c r="BR9" i="4"/>
  <c r="BS9" i="4"/>
  <c r="BT9" i="4"/>
  <c r="BR10" i="4"/>
  <c r="BS10" i="4"/>
  <c r="BT10" i="4"/>
  <c r="BR11" i="4"/>
  <c r="BS11" i="4"/>
  <c r="BT11" i="4"/>
  <c r="BR12" i="4"/>
  <c r="BS12" i="4"/>
  <c r="BT12" i="4"/>
  <c r="BR13" i="4"/>
  <c r="BS13" i="4"/>
  <c r="BT13" i="4"/>
  <c r="BR14" i="4"/>
  <c r="BS14" i="4"/>
  <c r="BT14" i="4"/>
  <c r="BR15" i="4"/>
  <c r="BS15" i="4"/>
  <c r="BT15" i="4"/>
  <c r="BR16" i="4"/>
  <c r="BS16" i="4"/>
  <c r="BT16" i="4"/>
  <c r="BR17" i="4"/>
  <c r="BS17" i="4"/>
  <c r="BT17" i="4"/>
  <c r="BR18" i="4"/>
  <c r="BS18" i="4"/>
  <c r="BT18" i="4"/>
  <c r="BR19" i="4"/>
  <c r="BS19" i="4"/>
  <c r="BT19" i="4"/>
  <c r="BR20" i="4"/>
  <c r="BS20" i="4"/>
  <c r="BT20" i="4"/>
  <c r="BR21" i="4"/>
  <c r="BS21" i="4"/>
  <c r="BT21" i="4"/>
  <c r="BR22" i="4"/>
  <c r="BS22" i="4"/>
  <c r="BT22" i="4"/>
  <c r="BR23" i="4"/>
  <c r="BS23" i="4"/>
  <c r="BT23" i="4"/>
  <c r="BR24" i="4"/>
  <c r="BS24" i="4"/>
  <c r="BT24" i="4"/>
  <c r="BR25" i="4"/>
  <c r="BS25" i="4"/>
  <c r="BT25" i="4"/>
  <c r="BR26" i="4"/>
  <c r="BS26" i="4"/>
  <c r="BT26" i="4"/>
  <c r="BR27" i="4"/>
  <c r="BS27" i="4"/>
  <c r="BT27" i="4"/>
  <c r="BR28" i="4"/>
  <c r="BS28" i="4"/>
  <c r="BT28" i="4"/>
  <c r="BR29" i="4"/>
  <c r="BS29" i="4"/>
  <c r="BT29" i="4"/>
  <c r="BR30" i="4"/>
  <c r="BS30" i="4"/>
  <c r="BT30" i="4"/>
  <c r="BR31" i="4"/>
  <c r="BS31" i="4"/>
  <c r="BT31" i="4"/>
  <c r="BR32" i="4"/>
  <c r="BS32" i="4"/>
  <c r="BT32" i="4"/>
  <c r="BR33" i="4"/>
  <c r="BS33" i="4"/>
  <c r="BT33" i="4"/>
  <c r="BR34" i="4"/>
  <c r="BS34" i="4"/>
  <c r="BT34" i="4"/>
  <c r="BR35" i="4"/>
  <c r="BS35" i="4"/>
  <c r="BT35" i="4"/>
  <c r="BR36" i="4"/>
  <c r="BS36" i="4"/>
  <c r="BT36" i="4"/>
  <c r="BR37" i="4"/>
  <c r="BS37" i="4"/>
  <c r="BT37" i="4"/>
  <c r="BR38" i="4"/>
  <c r="BS38" i="4"/>
  <c r="BT38" i="4"/>
  <c r="BR39" i="4"/>
  <c r="BS39" i="4"/>
  <c r="BT39" i="4"/>
  <c r="BR40" i="4"/>
  <c r="BS40" i="4"/>
  <c r="BT40" i="4"/>
  <c r="BR41" i="4"/>
  <c r="BS41" i="4"/>
  <c r="BT41" i="4"/>
  <c r="BR42" i="4"/>
  <c r="BS42" i="4"/>
  <c r="BT42" i="4"/>
  <c r="BR43" i="4"/>
  <c r="BS43" i="4"/>
  <c r="BT43" i="4"/>
  <c r="BR44" i="4"/>
  <c r="BS44" i="4"/>
  <c r="BT44" i="4"/>
  <c r="BR45" i="4"/>
  <c r="BS45" i="4"/>
  <c r="BT45" i="4"/>
  <c r="BR46" i="4"/>
  <c r="BS46" i="4"/>
  <c r="BT46" i="4"/>
  <c r="BR47" i="4"/>
  <c r="BS47" i="4"/>
  <c r="BT47" i="4"/>
  <c r="BR48" i="4"/>
  <c r="BS48" i="4"/>
  <c r="BT48" i="4"/>
  <c r="BR49" i="4"/>
  <c r="BS49" i="4"/>
  <c r="BT49" i="4"/>
  <c r="BR50" i="4"/>
  <c r="BS50" i="4"/>
  <c r="BT50" i="4"/>
  <c r="BR51" i="4"/>
  <c r="BS51" i="4"/>
  <c r="BT51" i="4"/>
  <c r="BR52" i="4"/>
  <c r="BS52" i="4"/>
  <c r="BT52" i="4"/>
  <c r="BR53" i="4"/>
  <c r="BS53" i="4"/>
  <c r="BT53" i="4"/>
  <c r="BR54" i="4"/>
  <c r="BS54" i="4"/>
  <c r="BT54" i="4"/>
  <c r="BR55" i="4"/>
  <c r="BS55" i="4"/>
  <c r="BT55" i="4"/>
  <c r="BR56" i="4"/>
  <c r="BS56" i="4"/>
  <c r="BT56" i="4"/>
  <c r="BR57" i="4"/>
  <c r="BS57" i="4"/>
  <c r="BT57" i="4"/>
  <c r="BR58" i="4"/>
  <c r="BS58" i="4"/>
  <c r="BT58" i="4"/>
  <c r="BR59" i="4"/>
  <c r="BS59" i="4"/>
  <c r="BT59" i="4"/>
  <c r="BR60" i="4"/>
  <c r="BS60" i="4"/>
  <c r="BT60" i="4"/>
  <c r="BR61" i="4"/>
  <c r="BS61" i="4"/>
  <c r="BT61" i="4"/>
  <c r="BR62" i="4"/>
  <c r="BS62" i="4"/>
  <c r="BT62" i="4"/>
  <c r="BR63" i="4"/>
  <c r="BS63" i="4"/>
  <c r="BT63" i="4"/>
  <c r="BR64" i="4"/>
  <c r="BS64" i="4"/>
  <c r="BT64" i="4"/>
  <c r="BR65" i="4"/>
  <c r="BS65" i="4"/>
  <c r="BT65" i="4"/>
  <c r="BR66" i="4"/>
  <c r="BS66" i="4"/>
  <c r="BT66" i="4"/>
  <c r="BR67" i="4"/>
  <c r="BS67" i="4"/>
  <c r="BT67" i="4"/>
  <c r="BR68" i="4"/>
  <c r="BS68" i="4"/>
  <c r="BT68" i="4"/>
  <c r="BR69" i="4"/>
  <c r="BS69" i="4"/>
  <c r="BT69" i="4"/>
  <c r="BR70" i="4"/>
  <c r="BS70" i="4"/>
  <c r="BT70" i="4"/>
  <c r="BR71" i="4"/>
  <c r="BS71" i="4"/>
  <c r="BT71" i="4"/>
  <c r="BR72" i="4"/>
  <c r="BS72" i="4"/>
  <c r="BT72" i="4"/>
  <c r="BR73" i="4"/>
  <c r="BS73" i="4"/>
  <c r="BT73" i="4"/>
  <c r="BR74" i="4"/>
  <c r="BS74" i="4"/>
  <c r="BT74" i="4"/>
  <c r="BR75" i="4"/>
  <c r="BS75" i="4"/>
  <c r="BT75" i="4"/>
  <c r="BR76" i="4"/>
  <c r="BS76" i="4"/>
  <c r="BT76" i="4"/>
  <c r="BR77" i="4"/>
  <c r="BS77" i="4"/>
  <c r="BT77" i="4"/>
  <c r="BR78" i="4"/>
  <c r="BS78" i="4"/>
  <c r="BT78" i="4"/>
  <c r="BR79" i="4"/>
  <c r="BS79" i="4"/>
  <c r="BT79" i="4"/>
  <c r="BR80" i="4"/>
  <c r="BS80" i="4"/>
  <c r="BT80" i="4"/>
  <c r="BR81" i="4"/>
  <c r="BS81" i="4"/>
  <c r="BT81" i="4"/>
  <c r="BR82" i="4"/>
  <c r="BS82" i="4"/>
  <c r="BT82" i="4"/>
  <c r="BR83" i="4"/>
  <c r="BS83" i="4"/>
  <c r="BT83" i="4"/>
  <c r="BR84" i="4"/>
  <c r="BS84" i="4"/>
  <c r="BT84" i="4"/>
  <c r="BR85" i="4"/>
  <c r="BS85" i="4"/>
  <c r="BT85" i="4"/>
  <c r="BR86" i="4"/>
  <c r="BS86" i="4"/>
  <c r="BT86" i="4"/>
  <c r="BR87" i="4"/>
  <c r="BS87" i="4"/>
  <c r="BT87" i="4"/>
  <c r="BR88" i="4"/>
  <c r="BS88" i="4"/>
  <c r="BT88" i="4"/>
  <c r="BR89" i="4"/>
  <c r="BS89" i="4"/>
  <c r="BT89" i="4"/>
  <c r="BR90" i="4"/>
  <c r="BS90" i="4"/>
  <c r="BT90" i="4"/>
  <c r="BR91" i="4"/>
  <c r="BS91" i="4"/>
  <c r="BT91" i="4"/>
  <c r="BR92" i="4"/>
  <c r="BS92" i="4"/>
  <c r="BT92" i="4"/>
  <c r="BR93" i="4"/>
  <c r="BS93" i="4"/>
  <c r="BT93" i="4"/>
  <c r="BR94" i="4"/>
  <c r="BS94" i="4"/>
  <c r="BT94" i="4"/>
  <c r="BR95" i="4"/>
  <c r="BS95" i="4"/>
  <c r="BT95" i="4"/>
  <c r="BR96" i="4"/>
  <c r="BS96" i="4"/>
  <c r="BT96" i="4"/>
  <c r="BR97" i="4"/>
  <c r="BS97" i="4"/>
  <c r="BT97" i="4"/>
  <c r="BR98" i="4"/>
  <c r="BS98" i="4"/>
  <c r="BT98" i="4"/>
  <c r="BR99" i="4"/>
  <c r="BS99" i="4"/>
  <c r="BT99" i="4"/>
  <c r="BR100" i="4"/>
  <c r="BS100" i="4"/>
  <c r="BT100" i="4"/>
  <c r="BR101" i="4"/>
  <c r="BS101" i="4"/>
  <c r="BT101" i="4"/>
  <c r="BR102" i="4"/>
  <c r="BS102" i="4"/>
  <c r="BT102" i="4"/>
  <c r="BR103" i="4"/>
  <c r="BS103" i="4"/>
  <c r="BT103" i="4"/>
  <c r="BR104" i="4"/>
  <c r="BS104" i="4"/>
  <c r="BT104" i="4"/>
  <c r="BR105" i="4"/>
  <c r="BS105" i="4"/>
  <c r="BT105" i="4"/>
  <c r="BR106" i="4"/>
  <c r="BS106" i="4"/>
  <c r="BT106" i="4"/>
  <c r="BR107" i="4"/>
  <c r="BS107" i="4"/>
  <c r="BT107" i="4"/>
  <c r="BR108" i="4"/>
  <c r="BS108" i="4"/>
  <c r="BT108" i="4"/>
  <c r="BR109" i="4"/>
  <c r="BS109" i="4"/>
  <c r="BT109" i="4"/>
  <c r="BR110" i="4"/>
  <c r="BS110" i="4"/>
  <c r="BT110" i="4"/>
  <c r="BR111" i="4"/>
  <c r="BS111" i="4"/>
  <c r="BT111" i="4"/>
  <c r="BR112" i="4"/>
  <c r="BS112" i="4"/>
  <c r="BT112" i="4"/>
  <c r="BR113" i="4"/>
  <c r="BS113" i="4"/>
  <c r="BT113" i="4"/>
  <c r="BR114" i="4"/>
  <c r="BS114" i="4"/>
  <c r="BT114" i="4"/>
  <c r="BR115" i="4"/>
  <c r="BS115" i="4"/>
  <c r="BT115" i="4"/>
  <c r="BR116" i="4"/>
  <c r="BS116" i="4"/>
  <c r="BT116" i="4"/>
  <c r="BR117" i="4"/>
  <c r="BS117" i="4"/>
  <c r="BT117" i="4"/>
  <c r="BR118" i="4"/>
  <c r="BS118" i="4"/>
  <c r="BT118" i="4"/>
  <c r="BR119" i="4"/>
  <c r="BS119" i="4"/>
  <c r="BT119" i="4"/>
  <c r="BR120" i="4"/>
  <c r="BS120" i="4"/>
  <c r="BT120" i="4"/>
  <c r="BR121" i="4"/>
  <c r="BS121" i="4"/>
  <c r="BT121" i="4"/>
  <c r="BR122" i="4"/>
  <c r="BS122" i="4"/>
  <c r="BT122" i="4"/>
  <c r="BR123" i="4"/>
  <c r="BS123" i="4"/>
  <c r="BT123" i="4"/>
  <c r="BR124" i="4"/>
  <c r="BS124" i="4"/>
  <c r="BT124" i="4"/>
  <c r="BR125" i="4"/>
  <c r="BS125" i="4"/>
  <c r="BT125" i="4"/>
  <c r="BR126" i="4"/>
  <c r="BS126" i="4"/>
  <c r="BT126" i="4"/>
  <c r="BR127" i="4"/>
  <c r="BS127" i="4"/>
  <c r="BT127" i="4"/>
  <c r="BR3" i="4"/>
  <c r="BS3" i="4"/>
  <c r="BT3" i="4"/>
  <c r="BO4" i="4"/>
  <c r="BP4" i="4"/>
  <c r="BQ4" i="4"/>
  <c r="BO5" i="4"/>
  <c r="BP5" i="4"/>
  <c r="BQ5" i="4"/>
  <c r="BO6" i="4"/>
  <c r="BP6" i="4"/>
  <c r="BQ6" i="4"/>
  <c r="BO7" i="4"/>
  <c r="BP7" i="4"/>
  <c r="BQ7" i="4"/>
  <c r="BO8" i="4"/>
  <c r="BP8" i="4"/>
  <c r="BQ8" i="4"/>
  <c r="BO9" i="4"/>
  <c r="BP9" i="4"/>
  <c r="BQ9" i="4"/>
  <c r="BO10" i="4"/>
  <c r="BP10" i="4"/>
  <c r="BQ10" i="4"/>
  <c r="BO11" i="4"/>
  <c r="BP11" i="4"/>
  <c r="BQ11" i="4"/>
  <c r="BO12" i="4"/>
  <c r="BP12" i="4"/>
  <c r="BQ12" i="4"/>
  <c r="BO13" i="4"/>
  <c r="BP13" i="4"/>
  <c r="BQ13" i="4"/>
  <c r="BO14" i="4"/>
  <c r="BP14" i="4"/>
  <c r="BQ14" i="4"/>
  <c r="BO15" i="4"/>
  <c r="BP15" i="4"/>
  <c r="BQ15" i="4"/>
  <c r="BO16" i="4"/>
  <c r="BP16" i="4"/>
  <c r="BQ16" i="4"/>
  <c r="BO17" i="4"/>
  <c r="BP17" i="4"/>
  <c r="BQ17" i="4"/>
  <c r="BO18" i="4"/>
  <c r="BP18" i="4"/>
  <c r="BQ18" i="4"/>
  <c r="BO19" i="4"/>
  <c r="BP19" i="4"/>
  <c r="BQ19" i="4"/>
  <c r="BO20" i="4"/>
  <c r="BP20" i="4"/>
  <c r="BQ20" i="4"/>
  <c r="BO21" i="4"/>
  <c r="BP21" i="4"/>
  <c r="BQ21" i="4"/>
  <c r="BO22" i="4"/>
  <c r="BP22" i="4"/>
  <c r="BQ22" i="4"/>
  <c r="BO23" i="4"/>
  <c r="BP23" i="4"/>
  <c r="BQ23" i="4"/>
  <c r="BO24" i="4"/>
  <c r="BP24" i="4"/>
  <c r="BQ24" i="4"/>
  <c r="BO25" i="4"/>
  <c r="BP25" i="4"/>
  <c r="BQ25" i="4"/>
  <c r="BO26" i="4"/>
  <c r="BP26" i="4"/>
  <c r="BQ26" i="4"/>
  <c r="BO27" i="4"/>
  <c r="BP27" i="4"/>
  <c r="BQ27" i="4"/>
  <c r="BO28" i="4"/>
  <c r="BP28" i="4"/>
  <c r="BQ28" i="4"/>
  <c r="BO29" i="4"/>
  <c r="BP29" i="4"/>
  <c r="BQ29" i="4"/>
  <c r="BO30" i="4"/>
  <c r="BP30" i="4"/>
  <c r="BQ30" i="4"/>
  <c r="BO31" i="4"/>
  <c r="BP31" i="4"/>
  <c r="BQ31" i="4"/>
  <c r="BO32" i="4"/>
  <c r="BP32" i="4"/>
  <c r="BQ32" i="4"/>
  <c r="BO33" i="4"/>
  <c r="BP33" i="4"/>
  <c r="BQ33" i="4"/>
  <c r="BO34" i="4"/>
  <c r="BP34" i="4"/>
  <c r="BQ34" i="4"/>
  <c r="BO35" i="4"/>
  <c r="BP35" i="4"/>
  <c r="BQ35" i="4"/>
  <c r="BO36" i="4"/>
  <c r="BP36" i="4"/>
  <c r="BQ36" i="4"/>
  <c r="BO37" i="4"/>
  <c r="BP37" i="4"/>
  <c r="BQ37" i="4"/>
  <c r="BO38" i="4"/>
  <c r="BP38" i="4"/>
  <c r="BQ38" i="4"/>
  <c r="BO39" i="4"/>
  <c r="BP39" i="4"/>
  <c r="BQ39" i="4"/>
  <c r="BO40" i="4"/>
  <c r="BP40" i="4"/>
  <c r="BQ40" i="4"/>
  <c r="BO41" i="4"/>
  <c r="BP41" i="4"/>
  <c r="BQ41" i="4"/>
  <c r="BO42" i="4"/>
  <c r="BP42" i="4"/>
  <c r="BQ42" i="4"/>
  <c r="BO43" i="4"/>
  <c r="BP43" i="4"/>
  <c r="BQ43" i="4"/>
  <c r="BO44" i="4"/>
  <c r="BP44" i="4"/>
  <c r="BQ44" i="4"/>
  <c r="BO45" i="4"/>
  <c r="BP45" i="4"/>
  <c r="BQ45" i="4"/>
  <c r="BO46" i="4"/>
  <c r="BP46" i="4"/>
  <c r="BQ46" i="4"/>
  <c r="BO47" i="4"/>
  <c r="BP47" i="4"/>
  <c r="BQ47" i="4"/>
  <c r="BO48" i="4"/>
  <c r="BP48" i="4"/>
  <c r="BQ48" i="4"/>
  <c r="BO49" i="4"/>
  <c r="BP49" i="4"/>
  <c r="BQ49" i="4"/>
  <c r="BO50" i="4"/>
  <c r="BP50" i="4"/>
  <c r="BQ50" i="4"/>
  <c r="BO51" i="4"/>
  <c r="BP51" i="4"/>
  <c r="BQ51" i="4"/>
  <c r="BO52" i="4"/>
  <c r="BP52" i="4"/>
  <c r="BQ52" i="4"/>
  <c r="BO53" i="4"/>
  <c r="BP53" i="4"/>
  <c r="BQ53" i="4"/>
  <c r="BO54" i="4"/>
  <c r="BP54" i="4"/>
  <c r="BQ54" i="4"/>
  <c r="BO55" i="4"/>
  <c r="BP55" i="4"/>
  <c r="BQ55" i="4"/>
  <c r="BO56" i="4"/>
  <c r="BP56" i="4"/>
  <c r="BQ56" i="4"/>
  <c r="BO57" i="4"/>
  <c r="BP57" i="4"/>
  <c r="BQ57" i="4"/>
  <c r="BO58" i="4"/>
  <c r="BP58" i="4"/>
  <c r="BQ58" i="4"/>
  <c r="BO59" i="4"/>
  <c r="BP59" i="4"/>
  <c r="BQ59" i="4"/>
  <c r="BO60" i="4"/>
  <c r="BP60" i="4"/>
  <c r="BQ60" i="4"/>
  <c r="BO61" i="4"/>
  <c r="BP61" i="4"/>
  <c r="BQ61" i="4"/>
  <c r="BO62" i="4"/>
  <c r="BP62" i="4"/>
  <c r="BQ62" i="4"/>
  <c r="BO63" i="4"/>
  <c r="BP63" i="4"/>
  <c r="BQ63" i="4"/>
  <c r="BO64" i="4"/>
  <c r="BP64" i="4"/>
  <c r="BQ64" i="4"/>
  <c r="BO65" i="4"/>
  <c r="BP65" i="4"/>
  <c r="BQ65" i="4"/>
  <c r="BO66" i="4"/>
  <c r="BP66" i="4"/>
  <c r="BQ66" i="4"/>
  <c r="BO67" i="4"/>
  <c r="BP67" i="4"/>
  <c r="BQ67" i="4"/>
  <c r="BO68" i="4"/>
  <c r="BP68" i="4"/>
  <c r="BQ68" i="4"/>
  <c r="BO69" i="4"/>
  <c r="BP69" i="4"/>
  <c r="BQ69" i="4"/>
  <c r="BO70" i="4"/>
  <c r="BP70" i="4"/>
  <c r="BQ70" i="4"/>
  <c r="BO71" i="4"/>
  <c r="BP71" i="4"/>
  <c r="BQ71" i="4"/>
  <c r="BO72" i="4"/>
  <c r="BP72" i="4"/>
  <c r="BQ72" i="4"/>
  <c r="BO73" i="4"/>
  <c r="BP73" i="4"/>
  <c r="BQ73" i="4"/>
  <c r="BO74" i="4"/>
  <c r="BP74" i="4"/>
  <c r="BQ74" i="4"/>
  <c r="BO75" i="4"/>
  <c r="BP75" i="4"/>
  <c r="BQ75" i="4"/>
  <c r="BO76" i="4"/>
  <c r="BP76" i="4"/>
  <c r="BQ76" i="4"/>
  <c r="BO77" i="4"/>
  <c r="BP77" i="4"/>
  <c r="BQ77" i="4"/>
  <c r="BO78" i="4"/>
  <c r="BP78" i="4"/>
  <c r="BQ78" i="4"/>
  <c r="BO79" i="4"/>
  <c r="BP79" i="4"/>
  <c r="BQ79" i="4"/>
  <c r="BO80" i="4"/>
  <c r="BP80" i="4"/>
  <c r="BQ80" i="4"/>
  <c r="BO81" i="4"/>
  <c r="BP81" i="4"/>
  <c r="BQ81" i="4"/>
  <c r="BO82" i="4"/>
  <c r="BP82" i="4"/>
  <c r="BQ82" i="4"/>
  <c r="BO83" i="4"/>
  <c r="BP83" i="4"/>
  <c r="BQ83" i="4"/>
  <c r="BO84" i="4"/>
  <c r="BP84" i="4"/>
  <c r="BQ84" i="4"/>
  <c r="BO85" i="4"/>
  <c r="BP85" i="4"/>
  <c r="BQ85" i="4"/>
  <c r="BO86" i="4"/>
  <c r="BP86" i="4"/>
  <c r="BQ86" i="4"/>
  <c r="BO87" i="4"/>
  <c r="BP87" i="4"/>
  <c r="BQ87" i="4"/>
  <c r="BO88" i="4"/>
  <c r="BP88" i="4"/>
  <c r="BQ88" i="4"/>
  <c r="BO89" i="4"/>
  <c r="BP89" i="4"/>
  <c r="BQ89" i="4"/>
  <c r="BO90" i="4"/>
  <c r="BP90" i="4"/>
  <c r="BQ90" i="4"/>
  <c r="BO91" i="4"/>
  <c r="BP91" i="4"/>
  <c r="BQ91" i="4"/>
  <c r="BO92" i="4"/>
  <c r="BP92" i="4"/>
  <c r="BQ92" i="4"/>
  <c r="BO93" i="4"/>
  <c r="BP93" i="4"/>
  <c r="BQ93" i="4"/>
  <c r="BO94" i="4"/>
  <c r="BP94" i="4"/>
  <c r="BQ94" i="4"/>
  <c r="BO95" i="4"/>
  <c r="BP95" i="4"/>
  <c r="BQ95" i="4"/>
  <c r="BO96" i="4"/>
  <c r="BP96" i="4"/>
  <c r="BQ96" i="4"/>
  <c r="BO97" i="4"/>
  <c r="BP97" i="4"/>
  <c r="BQ97" i="4"/>
  <c r="BO98" i="4"/>
  <c r="BP98" i="4"/>
  <c r="BQ98" i="4"/>
  <c r="BO99" i="4"/>
  <c r="BP99" i="4"/>
  <c r="BQ99" i="4"/>
  <c r="BO100" i="4"/>
  <c r="BP100" i="4"/>
  <c r="BQ100" i="4"/>
  <c r="BO101" i="4"/>
  <c r="BP101" i="4"/>
  <c r="BQ101" i="4"/>
  <c r="BO102" i="4"/>
  <c r="BP102" i="4"/>
  <c r="BQ102" i="4"/>
  <c r="BO103" i="4"/>
  <c r="BP103" i="4"/>
  <c r="BQ103" i="4"/>
  <c r="BO104" i="4"/>
  <c r="BP104" i="4"/>
  <c r="BQ104" i="4"/>
  <c r="BO105" i="4"/>
  <c r="BP105" i="4"/>
  <c r="BQ105" i="4"/>
  <c r="BO106" i="4"/>
  <c r="BP106" i="4"/>
  <c r="BQ106" i="4"/>
  <c r="BO107" i="4"/>
  <c r="BP107" i="4"/>
  <c r="BQ107" i="4"/>
  <c r="BO108" i="4"/>
  <c r="BP108" i="4"/>
  <c r="BQ108" i="4"/>
  <c r="BO109" i="4"/>
  <c r="BP109" i="4"/>
  <c r="BQ109" i="4"/>
  <c r="BO110" i="4"/>
  <c r="BP110" i="4"/>
  <c r="BQ110" i="4"/>
  <c r="BO111" i="4"/>
  <c r="BP111" i="4"/>
  <c r="BQ111" i="4"/>
  <c r="BO112" i="4"/>
  <c r="BP112" i="4"/>
  <c r="BQ112" i="4"/>
  <c r="BO113" i="4"/>
  <c r="BP113" i="4"/>
  <c r="BQ113" i="4"/>
  <c r="BO114" i="4"/>
  <c r="BP114" i="4"/>
  <c r="BQ114" i="4"/>
  <c r="BO115" i="4"/>
  <c r="BP115" i="4"/>
  <c r="BQ115" i="4"/>
  <c r="BO116" i="4"/>
  <c r="BP116" i="4"/>
  <c r="BQ116" i="4"/>
  <c r="BO117" i="4"/>
  <c r="BP117" i="4"/>
  <c r="BQ117" i="4"/>
  <c r="BO118" i="4"/>
  <c r="BP118" i="4"/>
  <c r="BQ118" i="4"/>
  <c r="BO119" i="4"/>
  <c r="BP119" i="4"/>
  <c r="BQ119" i="4"/>
  <c r="BO120" i="4"/>
  <c r="BP120" i="4"/>
  <c r="BQ120" i="4"/>
  <c r="BO121" i="4"/>
  <c r="BP121" i="4"/>
  <c r="BQ121" i="4"/>
  <c r="BO122" i="4"/>
  <c r="BP122" i="4"/>
  <c r="BQ122" i="4"/>
  <c r="BO123" i="4"/>
  <c r="BP123" i="4"/>
  <c r="BQ123" i="4"/>
  <c r="BO124" i="4"/>
  <c r="BP124" i="4"/>
  <c r="BQ124" i="4"/>
  <c r="BO125" i="4"/>
  <c r="BP125" i="4"/>
  <c r="BQ125" i="4"/>
  <c r="BO126" i="4"/>
  <c r="BP126" i="4"/>
  <c r="BQ126" i="4"/>
  <c r="BO127" i="4"/>
  <c r="BP127" i="4"/>
  <c r="BQ127" i="4"/>
  <c r="BO3" i="4"/>
  <c r="BP3" i="4"/>
  <c r="BQ3" i="4"/>
  <c r="BL4" i="4"/>
  <c r="BM4" i="4"/>
  <c r="BN4" i="4"/>
  <c r="BL5" i="4"/>
  <c r="BM5" i="4"/>
  <c r="BN5" i="4"/>
  <c r="BL6" i="4"/>
  <c r="BM6" i="4"/>
  <c r="BN6" i="4"/>
  <c r="BL7" i="4"/>
  <c r="BM7" i="4"/>
  <c r="BN7" i="4"/>
  <c r="BL8" i="4"/>
  <c r="BM8" i="4"/>
  <c r="BN8" i="4"/>
  <c r="BL9" i="4"/>
  <c r="BM9" i="4"/>
  <c r="BN9" i="4"/>
  <c r="BL10" i="4"/>
  <c r="BM10" i="4"/>
  <c r="BN10" i="4"/>
  <c r="BL11" i="4"/>
  <c r="BM11" i="4"/>
  <c r="BN11" i="4"/>
  <c r="BL12" i="4"/>
  <c r="BM12" i="4"/>
  <c r="BN12" i="4"/>
  <c r="BL13" i="4"/>
  <c r="BM13" i="4"/>
  <c r="BN13" i="4"/>
  <c r="BL14" i="4"/>
  <c r="BM14" i="4"/>
  <c r="BN14" i="4"/>
  <c r="BL15" i="4"/>
  <c r="BM15" i="4"/>
  <c r="BN15" i="4"/>
  <c r="BL16" i="4"/>
  <c r="BM16" i="4"/>
  <c r="BN16" i="4"/>
  <c r="BL17" i="4"/>
  <c r="BM17" i="4"/>
  <c r="BN17" i="4"/>
  <c r="BL18" i="4"/>
  <c r="BM18" i="4"/>
  <c r="BN18" i="4"/>
  <c r="BL19" i="4"/>
  <c r="BM19" i="4"/>
  <c r="BN19" i="4"/>
  <c r="BL20" i="4"/>
  <c r="BM20" i="4"/>
  <c r="BN20" i="4"/>
  <c r="BL21" i="4"/>
  <c r="BM21" i="4"/>
  <c r="BN21" i="4"/>
  <c r="BL22" i="4"/>
  <c r="BM22" i="4"/>
  <c r="BN22" i="4"/>
  <c r="BL23" i="4"/>
  <c r="BM23" i="4"/>
  <c r="BN23" i="4"/>
  <c r="BL24" i="4"/>
  <c r="BM24" i="4"/>
  <c r="BN24" i="4"/>
  <c r="BL25" i="4"/>
  <c r="BM25" i="4"/>
  <c r="BN25" i="4"/>
  <c r="BL26" i="4"/>
  <c r="BM26" i="4"/>
  <c r="BN26" i="4"/>
  <c r="BL27" i="4"/>
  <c r="BM27" i="4"/>
  <c r="BN27" i="4"/>
  <c r="BL28" i="4"/>
  <c r="BM28" i="4"/>
  <c r="BN28" i="4"/>
  <c r="BL29" i="4"/>
  <c r="BM29" i="4"/>
  <c r="BN29" i="4"/>
  <c r="BL30" i="4"/>
  <c r="BM30" i="4"/>
  <c r="BN30" i="4"/>
  <c r="BL31" i="4"/>
  <c r="BM31" i="4"/>
  <c r="BN31" i="4"/>
  <c r="BL32" i="4"/>
  <c r="BM32" i="4"/>
  <c r="BN32" i="4"/>
  <c r="BL33" i="4"/>
  <c r="BM33" i="4"/>
  <c r="BN33" i="4"/>
  <c r="BL34" i="4"/>
  <c r="BM34" i="4"/>
  <c r="BN34" i="4"/>
  <c r="BL35" i="4"/>
  <c r="BM35" i="4"/>
  <c r="BN35" i="4"/>
  <c r="BL36" i="4"/>
  <c r="BM36" i="4"/>
  <c r="BN36" i="4"/>
  <c r="BL37" i="4"/>
  <c r="BM37" i="4"/>
  <c r="BN37" i="4"/>
  <c r="BL38" i="4"/>
  <c r="BM38" i="4"/>
  <c r="BN38" i="4"/>
  <c r="BL39" i="4"/>
  <c r="BM39" i="4"/>
  <c r="BN39" i="4"/>
  <c r="BL40" i="4"/>
  <c r="BM40" i="4"/>
  <c r="BN40" i="4"/>
  <c r="BL41" i="4"/>
  <c r="BM41" i="4"/>
  <c r="BN41" i="4"/>
  <c r="BL42" i="4"/>
  <c r="BM42" i="4"/>
  <c r="BN42" i="4"/>
  <c r="BL43" i="4"/>
  <c r="BM43" i="4"/>
  <c r="BN43" i="4"/>
  <c r="BL44" i="4"/>
  <c r="BM44" i="4"/>
  <c r="BN44" i="4"/>
  <c r="BL45" i="4"/>
  <c r="BM45" i="4"/>
  <c r="BN45" i="4"/>
  <c r="BL46" i="4"/>
  <c r="BM46" i="4"/>
  <c r="BN46" i="4"/>
  <c r="BL47" i="4"/>
  <c r="BM47" i="4"/>
  <c r="BN47" i="4"/>
  <c r="BL48" i="4"/>
  <c r="BM48" i="4"/>
  <c r="BN48" i="4"/>
  <c r="BL49" i="4"/>
  <c r="BM49" i="4"/>
  <c r="BN49" i="4"/>
  <c r="BL50" i="4"/>
  <c r="BM50" i="4"/>
  <c r="BN50" i="4"/>
  <c r="BL51" i="4"/>
  <c r="BM51" i="4"/>
  <c r="BN51" i="4"/>
  <c r="BL52" i="4"/>
  <c r="BM52" i="4"/>
  <c r="BN52" i="4"/>
  <c r="BL53" i="4"/>
  <c r="BM53" i="4"/>
  <c r="BN53" i="4"/>
  <c r="BL54" i="4"/>
  <c r="BM54" i="4"/>
  <c r="BN54" i="4"/>
  <c r="BL55" i="4"/>
  <c r="BM55" i="4"/>
  <c r="BN55" i="4"/>
  <c r="BL56" i="4"/>
  <c r="BM56" i="4"/>
  <c r="BN56" i="4"/>
  <c r="BL57" i="4"/>
  <c r="BM57" i="4"/>
  <c r="BN57" i="4"/>
  <c r="BL58" i="4"/>
  <c r="BM58" i="4"/>
  <c r="BN58" i="4"/>
  <c r="BL59" i="4"/>
  <c r="BM59" i="4"/>
  <c r="BN59" i="4"/>
  <c r="BL60" i="4"/>
  <c r="BM60" i="4"/>
  <c r="BN60" i="4"/>
  <c r="BL61" i="4"/>
  <c r="BM61" i="4"/>
  <c r="BN61" i="4"/>
  <c r="BL62" i="4"/>
  <c r="BM62" i="4"/>
  <c r="BN62" i="4"/>
  <c r="BL63" i="4"/>
  <c r="BM63" i="4"/>
  <c r="BN63" i="4"/>
  <c r="BL64" i="4"/>
  <c r="BM64" i="4"/>
  <c r="BN64" i="4"/>
  <c r="BL65" i="4"/>
  <c r="BM65" i="4"/>
  <c r="BN65" i="4"/>
  <c r="BL66" i="4"/>
  <c r="BM66" i="4"/>
  <c r="BN66" i="4"/>
  <c r="BL67" i="4"/>
  <c r="BM67" i="4"/>
  <c r="BN67" i="4"/>
  <c r="BL68" i="4"/>
  <c r="BM68" i="4"/>
  <c r="BN68" i="4"/>
  <c r="BL69" i="4"/>
  <c r="BM69" i="4"/>
  <c r="BN69" i="4"/>
  <c r="BL70" i="4"/>
  <c r="BM70" i="4"/>
  <c r="BN70" i="4"/>
  <c r="BL71" i="4"/>
  <c r="BM71" i="4"/>
  <c r="BN71" i="4"/>
  <c r="BL72" i="4"/>
  <c r="BM72" i="4"/>
  <c r="BN72" i="4"/>
  <c r="BL73" i="4"/>
  <c r="BM73" i="4"/>
  <c r="BN73" i="4"/>
  <c r="BL74" i="4"/>
  <c r="BM74" i="4"/>
  <c r="BN74" i="4"/>
  <c r="BL75" i="4"/>
  <c r="BM75" i="4"/>
  <c r="BN75" i="4"/>
  <c r="BL76" i="4"/>
  <c r="BM76" i="4"/>
  <c r="BN76" i="4"/>
  <c r="BL77" i="4"/>
  <c r="BM77" i="4"/>
  <c r="BN77" i="4"/>
  <c r="BL78" i="4"/>
  <c r="BM78" i="4"/>
  <c r="BN78" i="4"/>
  <c r="BL79" i="4"/>
  <c r="BM79" i="4"/>
  <c r="BN79" i="4"/>
  <c r="BL80" i="4"/>
  <c r="BM80" i="4"/>
  <c r="BN80" i="4"/>
  <c r="BL81" i="4"/>
  <c r="BM81" i="4"/>
  <c r="BN81" i="4"/>
  <c r="BL82" i="4"/>
  <c r="BM82" i="4"/>
  <c r="BN82" i="4"/>
  <c r="BL83" i="4"/>
  <c r="BM83" i="4"/>
  <c r="BN83" i="4"/>
  <c r="BL84" i="4"/>
  <c r="BM84" i="4"/>
  <c r="BN84" i="4"/>
  <c r="BL85" i="4"/>
  <c r="BM85" i="4"/>
  <c r="BN85" i="4"/>
  <c r="BL86" i="4"/>
  <c r="BM86" i="4"/>
  <c r="BN86" i="4"/>
  <c r="BL87" i="4"/>
  <c r="BM87" i="4"/>
  <c r="BN87" i="4"/>
  <c r="BL88" i="4"/>
  <c r="BM88" i="4"/>
  <c r="BN88" i="4"/>
  <c r="BL89" i="4"/>
  <c r="BM89" i="4"/>
  <c r="BN89" i="4"/>
  <c r="BL90" i="4"/>
  <c r="BM90" i="4"/>
  <c r="BN90" i="4"/>
  <c r="BL91" i="4"/>
  <c r="BM91" i="4"/>
  <c r="BN91" i="4"/>
  <c r="BL92" i="4"/>
  <c r="BM92" i="4"/>
  <c r="BN92" i="4"/>
  <c r="BL93" i="4"/>
  <c r="BM93" i="4"/>
  <c r="BN93" i="4"/>
  <c r="BL94" i="4"/>
  <c r="BM94" i="4"/>
  <c r="BN94" i="4"/>
  <c r="BL95" i="4"/>
  <c r="BM95" i="4"/>
  <c r="BN95" i="4"/>
  <c r="BL96" i="4"/>
  <c r="BM96" i="4"/>
  <c r="BN96" i="4"/>
  <c r="BL97" i="4"/>
  <c r="BM97" i="4"/>
  <c r="BN97" i="4"/>
  <c r="BL98" i="4"/>
  <c r="BM98" i="4"/>
  <c r="BN98" i="4"/>
  <c r="BL99" i="4"/>
  <c r="BM99" i="4"/>
  <c r="BN99" i="4"/>
  <c r="BL100" i="4"/>
  <c r="BM100" i="4"/>
  <c r="BN100" i="4"/>
  <c r="BL101" i="4"/>
  <c r="BM101" i="4"/>
  <c r="BN101" i="4"/>
  <c r="BL102" i="4"/>
  <c r="BM102" i="4"/>
  <c r="BN102" i="4"/>
  <c r="BL103" i="4"/>
  <c r="BM103" i="4"/>
  <c r="BN103" i="4"/>
  <c r="BL104" i="4"/>
  <c r="BM104" i="4"/>
  <c r="BN104" i="4"/>
  <c r="BL105" i="4"/>
  <c r="BM105" i="4"/>
  <c r="BN105" i="4"/>
  <c r="BL106" i="4"/>
  <c r="BM106" i="4"/>
  <c r="BN106" i="4"/>
  <c r="BL107" i="4"/>
  <c r="BM107" i="4"/>
  <c r="BN107" i="4"/>
  <c r="BL108" i="4"/>
  <c r="BM108" i="4"/>
  <c r="BN108" i="4"/>
  <c r="BL109" i="4"/>
  <c r="BM109" i="4"/>
  <c r="BN109" i="4"/>
  <c r="BL110" i="4"/>
  <c r="BM110" i="4"/>
  <c r="BN110" i="4"/>
  <c r="BL111" i="4"/>
  <c r="BM111" i="4"/>
  <c r="BN111" i="4"/>
  <c r="BL112" i="4"/>
  <c r="BM112" i="4"/>
  <c r="BN112" i="4"/>
  <c r="BL113" i="4"/>
  <c r="BM113" i="4"/>
  <c r="BN113" i="4"/>
  <c r="BL114" i="4"/>
  <c r="BM114" i="4"/>
  <c r="BN114" i="4"/>
  <c r="BL115" i="4"/>
  <c r="BM115" i="4"/>
  <c r="BN115" i="4"/>
  <c r="BL116" i="4"/>
  <c r="BM116" i="4"/>
  <c r="BN116" i="4"/>
  <c r="BL117" i="4"/>
  <c r="BM117" i="4"/>
  <c r="BN117" i="4"/>
  <c r="BL118" i="4"/>
  <c r="BM118" i="4"/>
  <c r="BN118" i="4"/>
  <c r="BL119" i="4"/>
  <c r="BM119" i="4"/>
  <c r="BN119" i="4"/>
  <c r="BL120" i="4"/>
  <c r="BM120" i="4"/>
  <c r="BN120" i="4"/>
  <c r="BL121" i="4"/>
  <c r="BM121" i="4"/>
  <c r="BN121" i="4"/>
  <c r="BL122" i="4"/>
  <c r="BM122" i="4"/>
  <c r="BN122" i="4"/>
  <c r="BL123" i="4"/>
  <c r="BM123" i="4"/>
  <c r="BN123" i="4"/>
  <c r="BL124" i="4"/>
  <c r="BM124" i="4"/>
  <c r="BN124" i="4"/>
  <c r="BL125" i="4"/>
  <c r="BM125" i="4"/>
  <c r="BN125" i="4"/>
  <c r="BL126" i="4"/>
  <c r="BM126" i="4"/>
  <c r="BN126" i="4"/>
  <c r="BL127" i="4"/>
  <c r="BM127" i="4"/>
  <c r="BN127" i="4"/>
  <c r="BL3" i="4"/>
  <c r="BM3" i="4"/>
  <c r="BN3" i="4"/>
  <c r="BI4" i="4"/>
  <c r="BJ4" i="4"/>
  <c r="BK4" i="4"/>
  <c r="BI5" i="4"/>
  <c r="BJ5" i="4"/>
  <c r="BK5" i="4"/>
  <c r="BI6" i="4"/>
  <c r="BJ6" i="4"/>
  <c r="BK6" i="4"/>
  <c r="BI7" i="4"/>
  <c r="BJ7" i="4"/>
  <c r="BK7" i="4"/>
  <c r="BI8" i="4"/>
  <c r="BJ8" i="4"/>
  <c r="BK8" i="4"/>
  <c r="BI9" i="4"/>
  <c r="BJ9" i="4"/>
  <c r="BK9" i="4"/>
  <c r="BI10" i="4"/>
  <c r="BJ10" i="4"/>
  <c r="BK10" i="4"/>
  <c r="BI11" i="4"/>
  <c r="BJ11" i="4"/>
  <c r="BK11" i="4"/>
  <c r="BI12" i="4"/>
  <c r="BJ12" i="4"/>
  <c r="BK12" i="4"/>
  <c r="BI13" i="4"/>
  <c r="BJ13" i="4"/>
  <c r="BK13" i="4"/>
  <c r="BI14" i="4"/>
  <c r="BJ14" i="4"/>
  <c r="BK14" i="4"/>
  <c r="BI15" i="4"/>
  <c r="BJ15" i="4"/>
  <c r="BK15" i="4"/>
  <c r="BI16" i="4"/>
  <c r="BJ16" i="4"/>
  <c r="BK16" i="4"/>
  <c r="BI17" i="4"/>
  <c r="BJ17" i="4"/>
  <c r="BK17" i="4"/>
  <c r="BI18" i="4"/>
  <c r="BJ18" i="4"/>
  <c r="BK18" i="4"/>
  <c r="BI19" i="4"/>
  <c r="BJ19" i="4"/>
  <c r="BK19" i="4"/>
  <c r="BI20" i="4"/>
  <c r="BJ20" i="4"/>
  <c r="BK20" i="4"/>
  <c r="BI21" i="4"/>
  <c r="BJ21" i="4"/>
  <c r="BK21" i="4"/>
  <c r="BI22" i="4"/>
  <c r="BJ22" i="4"/>
  <c r="BK22" i="4"/>
  <c r="BI23" i="4"/>
  <c r="BJ23" i="4"/>
  <c r="BK23" i="4"/>
  <c r="BI24" i="4"/>
  <c r="BJ24" i="4"/>
  <c r="BK24" i="4"/>
  <c r="BI25" i="4"/>
  <c r="BJ25" i="4"/>
  <c r="BK25" i="4"/>
  <c r="BI26" i="4"/>
  <c r="BJ26" i="4"/>
  <c r="BK26" i="4"/>
  <c r="BI27" i="4"/>
  <c r="BJ27" i="4"/>
  <c r="BK27" i="4"/>
  <c r="BI28" i="4"/>
  <c r="BJ28" i="4"/>
  <c r="BK28" i="4"/>
  <c r="BI29" i="4"/>
  <c r="BJ29" i="4"/>
  <c r="BK29" i="4"/>
  <c r="BI30" i="4"/>
  <c r="BJ30" i="4"/>
  <c r="BK30" i="4"/>
  <c r="BI31" i="4"/>
  <c r="BJ31" i="4"/>
  <c r="BK31" i="4"/>
  <c r="BI32" i="4"/>
  <c r="BJ32" i="4"/>
  <c r="BK32" i="4"/>
  <c r="BI33" i="4"/>
  <c r="BJ33" i="4"/>
  <c r="BK33" i="4"/>
  <c r="BI34" i="4"/>
  <c r="BJ34" i="4"/>
  <c r="BK34" i="4"/>
  <c r="BI35" i="4"/>
  <c r="BJ35" i="4"/>
  <c r="BK35" i="4"/>
  <c r="BI36" i="4"/>
  <c r="BJ36" i="4"/>
  <c r="BK36" i="4"/>
  <c r="BI37" i="4"/>
  <c r="BJ37" i="4"/>
  <c r="BK37" i="4"/>
  <c r="BI38" i="4"/>
  <c r="BJ38" i="4"/>
  <c r="BK38" i="4"/>
  <c r="BI39" i="4"/>
  <c r="BJ39" i="4"/>
  <c r="BK39" i="4"/>
  <c r="BI40" i="4"/>
  <c r="BJ40" i="4"/>
  <c r="BK40" i="4"/>
  <c r="BI41" i="4"/>
  <c r="BJ41" i="4"/>
  <c r="BK41" i="4"/>
  <c r="BI42" i="4"/>
  <c r="BJ42" i="4"/>
  <c r="BK42" i="4"/>
  <c r="BI43" i="4"/>
  <c r="BJ43" i="4"/>
  <c r="BK43" i="4"/>
  <c r="BI44" i="4"/>
  <c r="BJ44" i="4"/>
  <c r="BK44" i="4"/>
  <c r="BI45" i="4"/>
  <c r="BJ45" i="4"/>
  <c r="BK45" i="4"/>
  <c r="BI46" i="4"/>
  <c r="BJ46" i="4"/>
  <c r="BK46" i="4"/>
  <c r="BI47" i="4"/>
  <c r="BJ47" i="4"/>
  <c r="BK47" i="4"/>
  <c r="BI48" i="4"/>
  <c r="BJ48" i="4"/>
  <c r="BK48" i="4"/>
  <c r="BI49" i="4"/>
  <c r="BJ49" i="4"/>
  <c r="BK49" i="4"/>
  <c r="BI50" i="4"/>
  <c r="BJ50" i="4"/>
  <c r="BK50" i="4"/>
  <c r="BI51" i="4"/>
  <c r="BJ51" i="4"/>
  <c r="BK51" i="4"/>
  <c r="BI52" i="4"/>
  <c r="BJ52" i="4"/>
  <c r="BK52" i="4"/>
  <c r="BI53" i="4"/>
  <c r="BJ53" i="4"/>
  <c r="BK53" i="4"/>
  <c r="BI54" i="4"/>
  <c r="BJ54" i="4"/>
  <c r="BK54" i="4"/>
  <c r="BI55" i="4"/>
  <c r="BJ55" i="4"/>
  <c r="BK55" i="4"/>
  <c r="BI56" i="4"/>
  <c r="BJ56" i="4"/>
  <c r="BK56" i="4"/>
  <c r="BI57" i="4"/>
  <c r="BJ57" i="4"/>
  <c r="BK57" i="4"/>
  <c r="BI58" i="4"/>
  <c r="BJ58" i="4"/>
  <c r="BK58" i="4"/>
  <c r="BI59" i="4"/>
  <c r="BJ59" i="4"/>
  <c r="BK59" i="4"/>
  <c r="BI60" i="4"/>
  <c r="BJ60" i="4"/>
  <c r="BK60" i="4"/>
  <c r="BI61" i="4"/>
  <c r="BJ61" i="4"/>
  <c r="BK61" i="4"/>
  <c r="BI62" i="4"/>
  <c r="BJ62" i="4"/>
  <c r="BK62" i="4"/>
  <c r="BI63" i="4"/>
  <c r="BJ63" i="4"/>
  <c r="BK63" i="4"/>
  <c r="BI64" i="4"/>
  <c r="BJ64" i="4"/>
  <c r="BK64" i="4"/>
  <c r="BI65" i="4"/>
  <c r="BJ65" i="4"/>
  <c r="BK65" i="4"/>
  <c r="BI66" i="4"/>
  <c r="BJ66" i="4"/>
  <c r="BK66" i="4"/>
  <c r="BI67" i="4"/>
  <c r="BJ67" i="4"/>
  <c r="BK67" i="4"/>
  <c r="BI68" i="4"/>
  <c r="BJ68" i="4"/>
  <c r="BK68" i="4"/>
  <c r="BI69" i="4"/>
  <c r="BJ69" i="4"/>
  <c r="BK69" i="4"/>
  <c r="BI70" i="4"/>
  <c r="BJ70" i="4"/>
  <c r="BK70" i="4"/>
  <c r="BI71" i="4"/>
  <c r="BJ71" i="4"/>
  <c r="BK71" i="4"/>
  <c r="BI72" i="4"/>
  <c r="BJ72" i="4"/>
  <c r="BK72" i="4"/>
  <c r="BI73" i="4"/>
  <c r="BJ73" i="4"/>
  <c r="BK73" i="4"/>
  <c r="BI74" i="4"/>
  <c r="BJ74" i="4"/>
  <c r="BK74" i="4"/>
  <c r="BI75" i="4"/>
  <c r="BJ75" i="4"/>
  <c r="BK75" i="4"/>
  <c r="BI76" i="4"/>
  <c r="BJ76" i="4"/>
  <c r="BK76" i="4"/>
  <c r="BI77" i="4"/>
  <c r="BJ77" i="4"/>
  <c r="BK77" i="4"/>
  <c r="BI78" i="4"/>
  <c r="BJ78" i="4"/>
  <c r="BK78" i="4"/>
  <c r="BI79" i="4"/>
  <c r="BJ79" i="4"/>
  <c r="BK79" i="4"/>
  <c r="BI80" i="4"/>
  <c r="BJ80" i="4"/>
  <c r="BK80" i="4"/>
  <c r="BI81" i="4"/>
  <c r="BJ81" i="4"/>
  <c r="BK81" i="4"/>
  <c r="BI82" i="4"/>
  <c r="BJ82" i="4"/>
  <c r="BK82" i="4"/>
  <c r="BI83" i="4"/>
  <c r="BJ83" i="4"/>
  <c r="BK83" i="4"/>
  <c r="BI84" i="4"/>
  <c r="BJ84" i="4"/>
  <c r="BK84" i="4"/>
  <c r="BI85" i="4"/>
  <c r="BJ85" i="4"/>
  <c r="BK85" i="4"/>
  <c r="BI86" i="4"/>
  <c r="BJ86" i="4"/>
  <c r="BK86" i="4"/>
  <c r="BI87" i="4"/>
  <c r="BJ87" i="4"/>
  <c r="BK87" i="4"/>
  <c r="BI88" i="4"/>
  <c r="BJ88" i="4"/>
  <c r="BK88" i="4"/>
  <c r="BI89" i="4"/>
  <c r="BJ89" i="4"/>
  <c r="BK89" i="4"/>
  <c r="BI90" i="4"/>
  <c r="BJ90" i="4"/>
  <c r="BK90" i="4"/>
  <c r="BI91" i="4"/>
  <c r="BJ91" i="4"/>
  <c r="BK91" i="4"/>
  <c r="BI92" i="4"/>
  <c r="BJ92" i="4"/>
  <c r="BK92" i="4"/>
  <c r="BI93" i="4"/>
  <c r="BJ93" i="4"/>
  <c r="BK93" i="4"/>
  <c r="BI94" i="4"/>
  <c r="BJ94" i="4"/>
  <c r="BK94" i="4"/>
  <c r="BI95" i="4"/>
  <c r="BJ95" i="4"/>
  <c r="BK95" i="4"/>
  <c r="BI96" i="4"/>
  <c r="BJ96" i="4"/>
  <c r="BK96" i="4"/>
  <c r="BI97" i="4"/>
  <c r="BJ97" i="4"/>
  <c r="BK97" i="4"/>
  <c r="BI98" i="4"/>
  <c r="BJ98" i="4"/>
  <c r="BK98" i="4"/>
  <c r="BI99" i="4"/>
  <c r="BJ99" i="4"/>
  <c r="BK99" i="4"/>
  <c r="BI100" i="4"/>
  <c r="BJ100" i="4"/>
  <c r="BK100" i="4"/>
  <c r="BI101" i="4"/>
  <c r="BJ101" i="4"/>
  <c r="BK101" i="4"/>
  <c r="BI102" i="4"/>
  <c r="BJ102" i="4"/>
  <c r="BK102" i="4"/>
  <c r="BI103" i="4"/>
  <c r="BJ103" i="4"/>
  <c r="BK103" i="4"/>
  <c r="BI104" i="4"/>
  <c r="BJ104" i="4"/>
  <c r="BK104" i="4"/>
  <c r="BI105" i="4"/>
  <c r="BJ105" i="4"/>
  <c r="BK105" i="4"/>
  <c r="BI106" i="4"/>
  <c r="BJ106" i="4"/>
  <c r="BK106" i="4"/>
  <c r="BI107" i="4"/>
  <c r="BJ107" i="4"/>
  <c r="BK107" i="4"/>
  <c r="BI108" i="4"/>
  <c r="BJ108" i="4"/>
  <c r="BK108" i="4"/>
  <c r="BI109" i="4"/>
  <c r="BJ109" i="4"/>
  <c r="BK109" i="4"/>
  <c r="BI110" i="4"/>
  <c r="BJ110" i="4"/>
  <c r="BK110" i="4"/>
  <c r="BI111" i="4"/>
  <c r="BJ111" i="4"/>
  <c r="BK111" i="4"/>
  <c r="BI112" i="4"/>
  <c r="BJ112" i="4"/>
  <c r="BK112" i="4"/>
  <c r="BI113" i="4"/>
  <c r="BJ113" i="4"/>
  <c r="BK113" i="4"/>
  <c r="BI114" i="4"/>
  <c r="BJ114" i="4"/>
  <c r="BK114" i="4"/>
  <c r="BI115" i="4"/>
  <c r="BJ115" i="4"/>
  <c r="BK115" i="4"/>
  <c r="BI116" i="4"/>
  <c r="BJ116" i="4"/>
  <c r="BK116" i="4"/>
  <c r="BI117" i="4"/>
  <c r="BJ117" i="4"/>
  <c r="BK117" i="4"/>
  <c r="BI118" i="4"/>
  <c r="BJ118" i="4"/>
  <c r="BK118" i="4"/>
  <c r="BI119" i="4"/>
  <c r="BJ119" i="4"/>
  <c r="BK119" i="4"/>
  <c r="BI120" i="4"/>
  <c r="BJ120" i="4"/>
  <c r="BK120" i="4"/>
  <c r="BI121" i="4"/>
  <c r="BJ121" i="4"/>
  <c r="BK121" i="4"/>
  <c r="BI122" i="4"/>
  <c r="BJ122" i="4"/>
  <c r="BK122" i="4"/>
  <c r="BI123" i="4"/>
  <c r="BJ123" i="4"/>
  <c r="BK123" i="4"/>
  <c r="BI124" i="4"/>
  <c r="BJ124" i="4"/>
  <c r="BK124" i="4"/>
  <c r="BI125" i="4"/>
  <c r="BJ125" i="4"/>
  <c r="BK125" i="4"/>
  <c r="BI126" i="4"/>
  <c r="BJ126" i="4"/>
  <c r="BK126" i="4"/>
  <c r="BI127" i="4"/>
  <c r="BJ127" i="4"/>
  <c r="BK127" i="4"/>
  <c r="BJ3" i="4"/>
  <c r="BK3" i="4"/>
  <c r="BF4" i="4"/>
  <c r="BG4" i="4"/>
  <c r="BH4" i="4"/>
  <c r="BF5" i="4"/>
  <c r="BG5" i="4"/>
  <c r="BH5" i="4"/>
  <c r="BF6" i="4"/>
  <c r="BG6" i="4"/>
  <c r="BH6" i="4"/>
  <c r="BF7" i="4"/>
  <c r="BG7" i="4"/>
  <c r="BH7" i="4"/>
  <c r="BF8" i="4"/>
  <c r="BG8" i="4"/>
  <c r="BH8" i="4"/>
  <c r="BF9" i="4"/>
  <c r="BG9" i="4"/>
  <c r="BH9" i="4"/>
  <c r="BF10" i="4"/>
  <c r="BG10" i="4"/>
  <c r="BH10" i="4"/>
  <c r="BF11" i="4"/>
  <c r="BG11" i="4"/>
  <c r="BH11" i="4"/>
  <c r="BF12" i="4"/>
  <c r="BG12" i="4"/>
  <c r="BH12" i="4"/>
  <c r="BF13" i="4"/>
  <c r="BG13" i="4"/>
  <c r="BH13" i="4"/>
  <c r="BF14" i="4"/>
  <c r="BG14" i="4"/>
  <c r="BH14" i="4"/>
  <c r="BF15" i="4"/>
  <c r="BG15" i="4"/>
  <c r="BH15" i="4"/>
  <c r="BF16" i="4"/>
  <c r="BG16" i="4"/>
  <c r="BH16" i="4"/>
  <c r="BF17" i="4"/>
  <c r="BG17" i="4"/>
  <c r="BH17" i="4"/>
  <c r="BF18" i="4"/>
  <c r="BG18" i="4"/>
  <c r="BH18" i="4"/>
  <c r="BF19" i="4"/>
  <c r="BG19" i="4"/>
  <c r="BH19" i="4"/>
  <c r="BF20" i="4"/>
  <c r="BG20" i="4"/>
  <c r="BH20" i="4"/>
  <c r="BF21" i="4"/>
  <c r="BG21" i="4"/>
  <c r="BH21" i="4"/>
  <c r="BF22" i="4"/>
  <c r="BG22" i="4"/>
  <c r="BH22" i="4"/>
  <c r="BF23" i="4"/>
  <c r="BG23" i="4"/>
  <c r="BH23" i="4"/>
  <c r="BF24" i="4"/>
  <c r="BG24" i="4"/>
  <c r="BH24" i="4"/>
  <c r="BF25" i="4"/>
  <c r="BG25" i="4"/>
  <c r="BH25" i="4"/>
  <c r="BF26" i="4"/>
  <c r="BG26" i="4"/>
  <c r="BH26" i="4"/>
  <c r="BF27" i="4"/>
  <c r="BG27" i="4"/>
  <c r="BH27" i="4"/>
  <c r="BF28" i="4"/>
  <c r="BG28" i="4"/>
  <c r="BH28" i="4"/>
  <c r="BF29" i="4"/>
  <c r="BG29" i="4"/>
  <c r="BH29" i="4"/>
  <c r="BF30" i="4"/>
  <c r="BG30" i="4"/>
  <c r="BH30" i="4"/>
  <c r="BF31" i="4"/>
  <c r="BG31" i="4"/>
  <c r="BH31" i="4"/>
  <c r="BF32" i="4"/>
  <c r="BG32" i="4"/>
  <c r="BH32" i="4"/>
  <c r="BF33" i="4"/>
  <c r="BG33" i="4"/>
  <c r="BH33" i="4"/>
  <c r="BF34" i="4"/>
  <c r="BG34" i="4"/>
  <c r="BH34" i="4"/>
  <c r="BF35" i="4"/>
  <c r="BG35" i="4"/>
  <c r="BH35" i="4"/>
  <c r="BF36" i="4"/>
  <c r="BG36" i="4"/>
  <c r="BH36" i="4"/>
  <c r="BF37" i="4"/>
  <c r="BG37" i="4"/>
  <c r="BH37" i="4"/>
  <c r="BF38" i="4"/>
  <c r="BG38" i="4"/>
  <c r="BH38" i="4"/>
  <c r="BF39" i="4"/>
  <c r="BG39" i="4"/>
  <c r="BH39" i="4"/>
  <c r="BF40" i="4"/>
  <c r="BG40" i="4"/>
  <c r="BH40" i="4"/>
  <c r="BF41" i="4"/>
  <c r="BG41" i="4"/>
  <c r="BH41" i="4"/>
  <c r="BF42" i="4"/>
  <c r="BG42" i="4"/>
  <c r="BH42" i="4"/>
  <c r="BF43" i="4"/>
  <c r="BG43" i="4"/>
  <c r="BH43" i="4"/>
  <c r="BF44" i="4"/>
  <c r="BG44" i="4"/>
  <c r="BH44" i="4"/>
  <c r="BF45" i="4"/>
  <c r="BG45" i="4"/>
  <c r="BH45" i="4"/>
  <c r="BF46" i="4"/>
  <c r="BG46" i="4"/>
  <c r="BH46" i="4"/>
  <c r="BF47" i="4"/>
  <c r="BG47" i="4"/>
  <c r="BH47" i="4"/>
  <c r="BF48" i="4"/>
  <c r="BG48" i="4"/>
  <c r="BH48" i="4"/>
  <c r="BF49" i="4"/>
  <c r="BG49" i="4"/>
  <c r="BH49" i="4"/>
  <c r="BF50" i="4"/>
  <c r="BG50" i="4"/>
  <c r="BH50" i="4"/>
  <c r="BF51" i="4"/>
  <c r="BG51" i="4"/>
  <c r="BH51" i="4"/>
  <c r="BF52" i="4"/>
  <c r="BG52" i="4"/>
  <c r="BH52" i="4"/>
  <c r="BF53" i="4"/>
  <c r="BG53" i="4"/>
  <c r="BH53" i="4"/>
  <c r="BF54" i="4"/>
  <c r="BG54" i="4"/>
  <c r="BH54" i="4"/>
  <c r="BF55" i="4"/>
  <c r="BG55" i="4"/>
  <c r="BH55" i="4"/>
  <c r="BF56" i="4"/>
  <c r="BG56" i="4"/>
  <c r="BH56" i="4"/>
  <c r="BF57" i="4"/>
  <c r="BG57" i="4"/>
  <c r="BH57" i="4"/>
  <c r="BF58" i="4"/>
  <c r="BG58" i="4"/>
  <c r="BH58" i="4"/>
  <c r="BF59" i="4"/>
  <c r="BG59" i="4"/>
  <c r="BH59" i="4"/>
  <c r="BF60" i="4"/>
  <c r="BG60" i="4"/>
  <c r="BH60" i="4"/>
  <c r="BF61" i="4"/>
  <c r="BG61" i="4"/>
  <c r="BH61" i="4"/>
  <c r="BF62" i="4"/>
  <c r="BG62" i="4"/>
  <c r="BH62" i="4"/>
  <c r="BF63" i="4"/>
  <c r="BG63" i="4"/>
  <c r="BH63" i="4"/>
  <c r="BF64" i="4"/>
  <c r="BG64" i="4"/>
  <c r="BH64" i="4"/>
  <c r="BF65" i="4"/>
  <c r="BG65" i="4"/>
  <c r="BH65" i="4"/>
  <c r="BF66" i="4"/>
  <c r="BG66" i="4"/>
  <c r="BH66" i="4"/>
  <c r="BF67" i="4"/>
  <c r="BG67" i="4"/>
  <c r="BH67" i="4"/>
  <c r="BF68" i="4"/>
  <c r="BG68" i="4"/>
  <c r="BH68" i="4"/>
  <c r="BF69" i="4"/>
  <c r="BG69" i="4"/>
  <c r="BH69" i="4"/>
  <c r="BF70" i="4"/>
  <c r="BG70" i="4"/>
  <c r="BH70" i="4"/>
  <c r="BF71" i="4"/>
  <c r="BG71" i="4"/>
  <c r="BH71" i="4"/>
  <c r="BF72" i="4"/>
  <c r="BG72" i="4"/>
  <c r="BH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F80" i="4"/>
  <c r="BG80" i="4"/>
  <c r="BH80" i="4"/>
  <c r="BF81" i="4"/>
  <c r="BG81" i="4"/>
  <c r="BH81" i="4"/>
  <c r="BF82" i="4"/>
  <c r="BG82" i="4"/>
  <c r="BH82" i="4"/>
  <c r="BF83" i="4"/>
  <c r="BG83" i="4"/>
  <c r="BH83" i="4"/>
  <c r="BF84" i="4"/>
  <c r="BG84" i="4"/>
  <c r="BH84" i="4"/>
  <c r="BF85" i="4"/>
  <c r="BG85" i="4"/>
  <c r="BH85" i="4"/>
  <c r="BF86" i="4"/>
  <c r="BG86" i="4"/>
  <c r="BH86" i="4"/>
  <c r="BF87" i="4"/>
  <c r="BG87" i="4"/>
  <c r="BH87" i="4"/>
  <c r="BF88" i="4"/>
  <c r="BG88" i="4"/>
  <c r="BH88" i="4"/>
  <c r="BF89" i="4"/>
  <c r="BG89" i="4"/>
  <c r="BH89" i="4"/>
  <c r="BF90" i="4"/>
  <c r="BG90" i="4"/>
  <c r="BH90" i="4"/>
  <c r="BF91" i="4"/>
  <c r="BG91" i="4"/>
  <c r="BH91" i="4"/>
  <c r="BF92" i="4"/>
  <c r="BG92" i="4"/>
  <c r="BH92" i="4"/>
  <c r="BF93" i="4"/>
  <c r="BG93" i="4"/>
  <c r="BH93" i="4"/>
  <c r="BF94" i="4"/>
  <c r="BG94" i="4"/>
  <c r="BH94" i="4"/>
  <c r="BF95" i="4"/>
  <c r="BG95" i="4"/>
  <c r="BH95" i="4"/>
  <c r="BF96" i="4"/>
  <c r="BG96" i="4"/>
  <c r="BH96" i="4"/>
  <c r="BF97" i="4"/>
  <c r="BG97" i="4"/>
  <c r="BH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F102" i="4"/>
  <c r="BG102" i="4"/>
  <c r="BH102" i="4"/>
  <c r="BF103" i="4"/>
  <c r="BG103" i="4"/>
  <c r="BH103" i="4"/>
  <c r="BF104" i="4"/>
  <c r="BG104" i="4"/>
  <c r="BH104" i="4"/>
  <c r="BF105" i="4"/>
  <c r="BG105" i="4"/>
  <c r="BH105" i="4"/>
  <c r="BF106" i="4"/>
  <c r="BG106" i="4"/>
  <c r="BH106" i="4"/>
  <c r="BF107" i="4"/>
  <c r="BG107" i="4"/>
  <c r="BH107" i="4"/>
  <c r="BF108" i="4"/>
  <c r="BG108" i="4"/>
  <c r="BH108" i="4"/>
  <c r="BF109" i="4"/>
  <c r="BG109" i="4"/>
  <c r="BH109" i="4"/>
  <c r="BF110" i="4"/>
  <c r="BG110" i="4"/>
  <c r="BH110" i="4"/>
  <c r="BF111" i="4"/>
  <c r="BG111" i="4"/>
  <c r="BH111" i="4"/>
  <c r="BF112" i="4"/>
  <c r="BG112" i="4"/>
  <c r="BH112" i="4"/>
  <c r="BF113" i="4"/>
  <c r="BG113" i="4"/>
  <c r="BH113" i="4"/>
  <c r="BF114" i="4"/>
  <c r="BG114" i="4"/>
  <c r="BH114" i="4"/>
  <c r="BF115" i="4"/>
  <c r="BG115" i="4"/>
  <c r="BH115" i="4"/>
  <c r="BF116" i="4"/>
  <c r="BG116" i="4"/>
  <c r="BH116" i="4"/>
  <c r="BF117" i="4"/>
  <c r="BG117" i="4"/>
  <c r="BH117" i="4"/>
  <c r="BF118" i="4"/>
  <c r="BG118" i="4"/>
  <c r="BH118" i="4"/>
  <c r="BF119" i="4"/>
  <c r="BG119" i="4"/>
  <c r="BH119" i="4"/>
  <c r="BF120" i="4"/>
  <c r="BG120" i="4"/>
  <c r="BH120" i="4"/>
  <c r="BF121" i="4"/>
  <c r="BG121" i="4"/>
  <c r="BH121" i="4"/>
  <c r="BF122" i="4"/>
  <c r="BG122" i="4"/>
  <c r="BH122" i="4"/>
  <c r="BF123" i="4"/>
  <c r="BG123" i="4"/>
  <c r="BH123" i="4"/>
  <c r="BF124" i="4"/>
  <c r="BG124" i="4"/>
  <c r="BH124" i="4"/>
  <c r="BF125" i="4"/>
  <c r="BG125" i="4"/>
  <c r="BH125" i="4"/>
  <c r="BF126" i="4"/>
  <c r="BG126" i="4"/>
  <c r="BH126" i="4"/>
  <c r="BF127" i="4"/>
  <c r="BG127" i="4"/>
  <c r="BH127" i="4"/>
  <c r="BI3" i="4"/>
  <c r="BG3" i="4"/>
  <c r="BH3" i="4"/>
  <c r="BF3" i="4"/>
  <c r="BB129" i="4"/>
  <c r="BC129" i="4"/>
  <c r="BD129" i="4"/>
  <c r="AI128" i="4"/>
  <c r="AJ128" i="4"/>
  <c r="AK128" i="4"/>
  <c r="AL128" i="4"/>
  <c r="U130" i="4"/>
  <c r="T130" i="4"/>
  <c r="AW129" i="4"/>
  <c r="AX129" i="4"/>
  <c r="AY129" i="4"/>
  <c r="AZ129" i="4"/>
  <c r="BA129" i="4"/>
  <c r="C130" i="4"/>
  <c r="E130" i="4"/>
  <c r="F130" i="4"/>
  <c r="G130" i="4"/>
  <c r="I130" i="4"/>
  <c r="J130" i="4"/>
  <c r="K130" i="4"/>
  <c r="M130" i="4"/>
  <c r="N130" i="4"/>
  <c r="O130" i="4"/>
  <c r="R130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P129" i="4"/>
  <c r="AQ129" i="4"/>
  <c r="AR129" i="4"/>
  <c r="AS129" i="4"/>
  <c r="AT129" i="4"/>
  <c r="AU129" i="4"/>
  <c r="C12" i="3" l="1"/>
  <c r="C16" i="3"/>
  <c r="F20" i="3"/>
  <c r="C24" i="3"/>
  <c r="C27" i="3" s="1"/>
  <c r="E24" i="3"/>
  <c r="F12" i="3"/>
  <c r="F8" i="3"/>
  <c r="C20" i="3"/>
  <c r="F24" i="3"/>
  <c r="E16" i="3"/>
  <c r="C8" i="3"/>
  <c r="E12" i="3"/>
  <c r="F16" i="3"/>
  <c r="E8" i="3"/>
  <c r="E20" i="3"/>
  <c r="BU126" i="4"/>
  <c r="BU122" i="4"/>
  <c r="BU118" i="4"/>
  <c r="BU114" i="4"/>
  <c r="BU110" i="4"/>
  <c r="BU106" i="4"/>
  <c r="BU102" i="4"/>
  <c r="BU98" i="4"/>
  <c r="BU94" i="4"/>
  <c r="BV91" i="4"/>
  <c r="BU3" i="4"/>
  <c r="BW3" i="4"/>
  <c r="BV123" i="4"/>
  <c r="BW120" i="4"/>
  <c r="BV115" i="4"/>
  <c r="BW112" i="4"/>
  <c r="BV107" i="4"/>
  <c r="BV103" i="4"/>
  <c r="BW100" i="4"/>
  <c r="BW96" i="4"/>
  <c r="BV95" i="4"/>
  <c r="BW92" i="4"/>
  <c r="BU123" i="4"/>
  <c r="BU119" i="4"/>
  <c r="BU115" i="4"/>
  <c r="BU111" i="4"/>
  <c r="BU103" i="4"/>
  <c r="BU95" i="4"/>
  <c r="BU71" i="4"/>
  <c r="BU31" i="4"/>
  <c r="BU27" i="4"/>
  <c r="BU7" i="4"/>
  <c r="BV127" i="4"/>
  <c r="BW124" i="4"/>
  <c r="BV119" i="4"/>
  <c r="BW116" i="4"/>
  <c r="BV111" i="4"/>
  <c r="BW108" i="4"/>
  <c r="BW104" i="4"/>
  <c r="BV99" i="4"/>
  <c r="BU127" i="4"/>
  <c r="BU107" i="4"/>
  <c r="BU99" i="4"/>
  <c r="BU91" i="4"/>
  <c r="BU87" i="4"/>
  <c r="BU83" i="4"/>
  <c r="BU79" i="4"/>
  <c r="BU75" i="4"/>
  <c r="BU67" i="4"/>
  <c r="BU63" i="4"/>
  <c r="BU59" i="4"/>
  <c r="BU55" i="4"/>
  <c r="BU51" i="4"/>
  <c r="BU47" i="4"/>
  <c r="BU43" i="4"/>
  <c r="BU39" i="4"/>
  <c r="BU35" i="4"/>
  <c r="BU23" i="4"/>
  <c r="BU19" i="4"/>
  <c r="BU15" i="4"/>
  <c r="BU11" i="4"/>
  <c r="BU90" i="4"/>
  <c r="BW88" i="4"/>
  <c r="BV87" i="4"/>
  <c r="BU86" i="4"/>
  <c r="BW84" i="4"/>
  <c r="BV83" i="4"/>
  <c r="BU82" i="4"/>
  <c r="BW80" i="4"/>
  <c r="BV79" i="4"/>
  <c r="BU78" i="4"/>
  <c r="BW76" i="4"/>
  <c r="BV75" i="4"/>
  <c r="BU74" i="4"/>
  <c r="BW72" i="4"/>
  <c r="BV71" i="4"/>
  <c r="BU70" i="4"/>
  <c r="BW68" i="4"/>
  <c r="BV67" i="4"/>
  <c r="BU66" i="4"/>
  <c r="BW64" i="4"/>
  <c r="BV63" i="4"/>
  <c r="BU62" i="4"/>
  <c r="BW60" i="4"/>
  <c r="BV59" i="4"/>
  <c r="BU58" i="4"/>
  <c r="BW56" i="4"/>
  <c r="BV55" i="4"/>
  <c r="BU54" i="4"/>
  <c r="BW52" i="4"/>
  <c r="BV51" i="4"/>
  <c r="BU50" i="4"/>
  <c r="BW48" i="4"/>
  <c r="BV47" i="4"/>
  <c r="BU46" i="4"/>
  <c r="BW44" i="4"/>
  <c r="BV43" i="4"/>
  <c r="BU42" i="4"/>
  <c r="BW40" i="4"/>
  <c r="BV39" i="4"/>
  <c r="BU38" i="4"/>
  <c r="BW36" i="4"/>
  <c r="BV35" i="4"/>
  <c r="BU34" i="4"/>
  <c r="BW32" i="4"/>
  <c r="BV31" i="4"/>
  <c r="BU30" i="4"/>
  <c r="BW28" i="4"/>
  <c r="BV27" i="4"/>
  <c r="BU26" i="4"/>
  <c r="BW24" i="4"/>
  <c r="BV23" i="4"/>
  <c r="BU22" i="4"/>
  <c r="BW20" i="4"/>
  <c r="BV19" i="4"/>
  <c r="BU18" i="4"/>
  <c r="BW16" i="4"/>
  <c r="BV15" i="4"/>
  <c r="BU14" i="4"/>
  <c r="BW12" i="4"/>
  <c r="BV11" i="4"/>
  <c r="BU10" i="4"/>
  <c r="BW8" i="4"/>
  <c r="BV7" i="4"/>
  <c r="BU6" i="4"/>
  <c r="BW4" i="4"/>
  <c r="BV118" i="4"/>
  <c r="BW115" i="4"/>
  <c r="BV102" i="4"/>
  <c r="BW99" i="4"/>
  <c r="BV86" i="4"/>
  <c r="BW83" i="4"/>
  <c r="BU73" i="4"/>
  <c r="BV70" i="4"/>
  <c r="BW67" i="4"/>
  <c r="BU57" i="4"/>
  <c r="BV54" i="4"/>
  <c r="BW51" i="4"/>
  <c r="BU41" i="4"/>
  <c r="BV38" i="4"/>
  <c r="BW35" i="4"/>
  <c r="BU25" i="4"/>
  <c r="BV22" i="4"/>
  <c r="BW19" i="4"/>
  <c r="BU9" i="4"/>
  <c r="BV6" i="4"/>
  <c r="BW127" i="4"/>
  <c r="BU125" i="4"/>
  <c r="BU121" i="4"/>
  <c r="BU117" i="4"/>
  <c r="BV114" i="4"/>
  <c r="BU113" i="4"/>
  <c r="BW111" i="4"/>
  <c r="BU109" i="4"/>
  <c r="BU105" i="4"/>
  <c r="BU101" i="4"/>
  <c r="BV98" i="4"/>
  <c r="BU97" i="4"/>
  <c r="BW95" i="4"/>
  <c r="BU93" i="4"/>
  <c r="BU85" i="4"/>
  <c r="BV82" i="4"/>
  <c r="BW79" i="4"/>
  <c r="BU69" i="4"/>
  <c r="BV66" i="4"/>
  <c r="BW63" i="4"/>
  <c r="BU53" i="4"/>
  <c r="BV50" i="4"/>
  <c r="BW47" i="4"/>
  <c r="BU37" i="4"/>
  <c r="BV34" i="4"/>
  <c r="BW31" i="4"/>
  <c r="BU21" i="4"/>
  <c r="BV18" i="4"/>
  <c r="BW15" i="4"/>
  <c r="BU5" i="4"/>
  <c r="BU124" i="4"/>
  <c r="BU120" i="4"/>
  <c r="BU116" i="4"/>
  <c r="BU112" i="4"/>
  <c r="BU108" i="4"/>
  <c r="BU104" i="4"/>
  <c r="BU100" i="4"/>
  <c r="BU96" i="4"/>
  <c r="BV126" i="4"/>
  <c r="BW123" i="4"/>
  <c r="BV122" i="4"/>
  <c r="BW119" i="4"/>
  <c r="BV110" i="4"/>
  <c r="BW107" i="4"/>
  <c r="BV106" i="4"/>
  <c r="BW103" i="4"/>
  <c r="BV94" i="4"/>
  <c r="BW91" i="4"/>
  <c r="BV90" i="4"/>
  <c r="BU89" i="4"/>
  <c r="BW87" i="4"/>
  <c r="BU81" i="4"/>
  <c r="BV78" i="4"/>
  <c r="BU77" i="4"/>
  <c r="BW75" i="4"/>
  <c r="BV74" i="4"/>
  <c r="BW71" i="4"/>
  <c r="BU65" i="4"/>
  <c r="BV62" i="4"/>
  <c r="BU61" i="4"/>
  <c r="BW59" i="4"/>
  <c r="BV58" i="4"/>
  <c r="BW55" i="4"/>
  <c r="BU49" i="4"/>
  <c r="BV46" i="4"/>
  <c r="BU45" i="4"/>
  <c r="BW43" i="4"/>
  <c r="BV42" i="4"/>
  <c r="BW39" i="4"/>
  <c r="BU33" i="4"/>
  <c r="BV30" i="4"/>
  <c r="BU29" i="4"/>
  <c r="BW27" i="4"/>
  <c r="BV26" i="4"/>
  <c r="BW23" i="4"/>
  <c r="BU17" i="4"/>
  <c r="BV14" i="4"/>
  <c r="BU13" i="4"/>
  <c r="BW11" i="4"/>
  <c r="BV10" i="4"/>
  <c r="BW7" i="4"/>
  <c r="BV3" i="4"/>
  <c r="BW125" i="4"/>
  <c r="BV124" i="4"/>
  <c r="BW121" i="4"/>
  <c r="BV120" i="4"/>
  <c r="BW117" i="4"/>
  <c r="BV116" i="4"/>
  <c r="BW113" i="4"/>
  <c r="BV112" i="4"/>
  <c r="BW109" i="4"/>
  <c r="BV108" i="4"/>
  <c r="BW105" i="4"/>
  <c r="BV104" i="4"/>
  <c r="BW101" i="4"/>
  <c r="BV100" i="4"/>
  <c r="BW97" i="4"/>
  <c r="BV96" i="4"/>
  <c r="BW93" i="4"/>
  <c r="BV92" i="4"/>
  <c r="BV88" i="4"/>
  <c r="BW85" i="4"/>
  <c r="BV80" i="4"/>
  <c r="BW77" i="4"/>
  <c r="BV72" i="4"/>
  <c r="BW69" i="4"/>
  <c r="BV64" i="4"/>
  <c r="BW61" i="4"/>
  <c r="BV56" i="4"/>
  <c r="BW53" i="4"/>
  <c r="BV52" i="4"/>
  <c r="BW49" i="4"/>
  <c r="BV40" i="4"/>
  <c r="BW37" i="4"/>
  <c r="BV36" i="4"/>
  <c r="BW33" i="4"/>
  <c r="BV28" i="4"/>
  <c r="BW25" i="4"/>
  <c r="BV20" i="4"/>
  <c r="BW17" i="4"/>
  <c r="BW5" i="4"/>
  <c r="BW126" i="4"/>
  <c r="BV125" i="4"/>
  <c r="BW122" i="4"/>
  <c r="BV121" i="4"/>
  <c r="BW118" i="4"/>
  <c r="BV117" i="4"/>
  <c r="BW114" i="4"/>
  <c r="BV113" i="4"/>
  <c r="BW110" i="4"/>
  <c r="BV109" i="4"/>
  <c r="BW106" i="4"/>
  <c r="BV105" i="4"/>
  <c r="BW102" i="4"/>
  <c r="BV101" i="4"/>
  <c r="BW98" i="4"/>
  <c r="BV97" i="4"/>
  <c r="BW94" i="4"/>
  <c r="BV93" i="4"/>
  <c r="BU92" i="4"/>
  <c r="BW90" i="4"/>
  <c r="BV89" i="4"/>
  <c r="BU88" i="4"/>
  <c r="BW86" i="4"/>
  <c r="BV85" i="4"/>
  <c r="BU84" i="4"/>
  <c r="BW82" i="4"/>
  <c r="BV81" i="4"/>
  <c r="BU80" i="4"/>
  <c r="BW78" i="4"/>
  <c r="BV77" i="4"/>
  <c r="BU76" i="4"/>
  <c r="BW74" i="4"/>
  <c r="BV73" i="4"/>
  <c r="BU72" i="4"/>
  <c r="BW70" i="4"/>
  <c r="BV69" i="4"/>
  <c r="BU68" i="4"/>
  <c r="BW66" i="4"/>
  <c r="BV65" i="4"/>
  <c r="BU64" i="4"/>
  <c r="BW62" i="4"/>
  <c r="BV61" i="4"/>
  <c r="BU60" i="4"/>
  <c r="BW58" i="4"/>
  <c r="BV57" i="4"/>
  <c r="BU56" i="4"/>
  <c r="BW54" i="4"/>
  <c r="BV53" i="4"/>
  <c r="BU52" i="4"/>
  <c r="BW50" i="4"/>
  <c r="BV49" i="4"/>
  <c r="BU48" i="4"/>
  <c r="BW46" i="4"/>
  <c r="BV45" i="4"/>
  <c r="BU44" i="4"/>
  <c r="BW42" i="4"/>
  <c r="BV41" i="4"/>
  <c r="BU40" i="4"/>
  <c r="BW38" i="4"/>
  <c r="BV37" i="4"/>
  <c r="BU36" i="4"/>
  <c r="BW34" i="4"/>
  <c r="BV33" i="4"/>
  <c r="BU32" i="4"/>
  <c r="BW30" i="4"/>
  <c r="BV29" i="4"/>
  <c r="BU28" i="4"/>
  <c r="BW26" i="4"/>
  <c r="BV25" i="4"/>
  <c r="BU24" i="4"/>
  <c r="BW22" i="4"/>
  <c r="BV21" i="4"/>
  <c r="BU20" i="4"/>
  <c r="BW18" i="4"/>
  <c r="BV17" i="4"/>
  <c r="BU16" i="4"/>
  <c r="BW14" i="4"/>
  <c r="BV13" i="4"/>
  <c r="BU12" i="4"/>
  <c r="BW10" i="4"/>
  <c r="BV9" i="4"/>
  <c r="BU8" i="4"/>
  <c r="BW6" i="4"/>
  <c r="BV5" i="4"/>
  <c r="BU4" i="4"/>
  <c r="BW89" i="4"/>
  <c r="BV84" i="4"/>
  <c r="BW81" i="4"/>
  <c r="BV76" i="4"/>
  <c r="BW73" i="4"/>
  <c r="BV68" i="4"/>
  <c r="BW65" i="4"/>
  <c r="BV60" i="4"/>
  <c r="BW57" i="4"/>
  <c r="BV48" i="4"/>
  <c r="BW45" i="4"/>
  <c r="BV44" i="4"/>
  <c r="BW41" i="4"/>
  <c r="BV32" i="4"/>
  <c r="BW29" i="4"/>
  <c r="BV24" i="4"/>
  <c r="BW21" i="4"/>
  <c r="BV16" i="4"/>
  <c r="BW13" i="4"/>
  <c r="BV12" i="4"/>
  <c r="BW9" i="4"/>
  <c r="BV8" i="4"/>
  <c r="BV4" i="4"/>
  <c r="S130" i="4"/>
  <c r="AV129" i="4"/>
  <c r="C26" i="3" l="1"/>
  <c r="F26" i="3"/>
  <c r="E26" i="3"/>
</calcChain>
</file>

<file path=xl/sharedStrings.xml><?xml version="1.0" encoding="utf-8"?>
<sst xmlns="http://schemas.openxmlformats.org/spreadsheetml/2006/main" count="528" uniqueCount="195">
  <si>
    <t>SUBTOTAL</t>
  </si>
  <si>
    <t>EDOMEX PROCARBONO</t>
  </si>
  <si>
    <t>TOTAL</t>
  </si>
  <si>
    <t>PROGRAMA</t>
  </si>
  <si>
    <t>AÑO</t>
  </si>
  <si>
    <t>UDS</t>
  </si>
  <si>
    <t>MONTO ($)</t>
  </si>
  <si>
    <t>No. de BENEFICIARIOS</t>
  </si>
  <si>
    <t>Reforestando EDOMEX vertiente Reforestación</t>
  </si>
  <si>
    <t>Plantaciones Forestales Comerciales- Reconversión Productiva (Vertiente: Plantación Forestal Comercial maderable y no maderable)</t>
  </si>
  <si>
    <t>Pago por Servicios Ambientales Hidrológicos del Estado de México</t>
  </si>
  <si>
    <t>EDOMEX Manejo Forestal Sustentable Componente: Programas de manejo forestal</t>
  </si>
  <si>
    <t xml:space="preserve">MUNICIPÍO:  </t>
  </si>
  <si>
    <t>ACULCO</t>
  </si>
  <si>
    <t>ACOLMAN</t>
  </si>
  <si>
    <t>ALMOLOYA DE ALQUISIRAS</t>
  </si>
  <si>
    <t>AMANALCO</t>
  </si>
  <si>
    <t>AMATEPEC</t>
  </si>
  <si>
    <t>AMECAMECA</t>
  </si>
  <si>
    <t>APAXCO</t>
  </si>
  <si>
    <t>ATENCO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</si>
  <si>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</si>
  <si>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</si>
  <si>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</si>
  <si>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</si>
  <si>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</si>
  <si>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</si>
  <si>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</si>
  <si>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</si>
  <si>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</si>
  <si>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</si>
  <si>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</si>
  <si>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</si>
  <si>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COATEPEC HARINAS</t>
  </si>
  <si>
    <t>COYOTEPEC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</si>
  <si>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</si>
  <si>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</si>
  <si>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</si>
  <si>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</si>
  <si>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</si>
  <si>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</si>
  <si>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</si>
  <si>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</si>
  <si>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</si>
  <si>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</si>
  <si>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</si>
  <si>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</si>
  <si>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</si>
  <si>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</si>
  <si>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</si>
  <si>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</si>
  <si>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</si>
  <si>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</si>
  <si>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</si>
  <si>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</si>
  <si>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</si>
  <si>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</si>
  <si>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</si>
  <si>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</si>
  <si>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</si>
  <si>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</si>
  <si>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NEXTLALPAN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</si>
  <si>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</si>
  <si>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</si>
  <si>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</si>
  <si>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</si>
  <si>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</si>
  <si>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</si>
  <si>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</si>
  <si>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</si>
  <si>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SAN ANTONIO LA ISLA</t>
  </si>
  <si>
    <t>SAN FELIPE DEL PROGRESO</t>
  </si>
  <si>
    <t>SAN MATEO ATENCO</t>
  </si>
  <si>
    <t>SULTEPEC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</si>
  <si>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</si>
  <si>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</si>
  <si>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</si>
  <si>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</si>
  <si>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</si>
  <si>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</si>
  <si>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</si>
  <si>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</si>
  <si>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</si>
  <si>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</si>
  <si>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</si>
  <si>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</si>
  <si>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</si>
  <si>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TEQUIXQUIAC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</si>
  <si>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</si>
  <si>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</si>
  <si>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</si>
  <si>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</si>
  <si>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</si>
  <si>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</si>
  <si>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</si>
  <si>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</si>
  <si>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</si>
  <si>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</si>
  <si>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</si>
  <si>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</si>
  <si>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VALLE DE BRAVO</t>
  </si>
  <si>
    <t>VALLE DE CHALCO SOLIDARIDAD</t>
  </si>
  <si>
    <t>VILLA DE ALLENDE</t>
  </si>
  <si>
    <t>VILLA GUERRERO</t>
  </si>
  <si>
    <t>VILLA VICTORIA</t>
  </si>
  <si>
    <t>XALATLACO</t>
  </si>
  <si>
    <t>ZACAZONAPAN</t>
  </si>
  <si>
    <t>ZACUALPAN</t>
  </si>
  <si>
    <t>ZINACANTEPEC</t>
  </si>
  <si>
    <t>ESTATAL</t>
  </si>
  <si>
    <t>Refo</t>
  </si>
  <si>
    <t>pfc</t>
  </si>
  <si>
    <t>procarbono</t>
  </si>
  <si>
    <t>PSA</t>
  </si>
  <si>
    <t>manejo</t>
  </si>
  <si>
    <t>año</t>
  </si>
  <si>
    <t>año 1</t>
  </si>
  <si>
    <t>año 2</t>
  </si>
  <si>
    <t>ZUMPANGO</t>
  </si>
  <si>
    <t>ACAMBAY</t>
  </si>
  <si>
    <t>ALMOLOYA DE JUAREZ</t>
  </si>
  <si>
    <t>ATIZAPAN</t>
  </si>
  <si>
    <t>ATIZAPAN DE ZARAGOZA</t>
  </si>
  <si>
    <t>CHIMALHUACAN</t>
  </si>
  <si>
    <t>COACALCO DE BERRIOZABAL</t>
  </si>
  <si>
    <t>COCOTITLAN</t>
  </si>
  <si>
    <t>CUAUTITLAN</t>
  </si>
  <si>
    <t>CUAUTITLAN IZCALLI</t>
  </si>
  <si>
    <t>JOCOTITLAN</t>
  </si>
  <si>
    <t>NAUCALPAN DE JUAREZ</t>
  </si>
  <si>
    <t>NICOLAS ROMERO</t>
  </si>
  <si>
    <t>POLOTITLAN</t>
  </si>
  <si>
    <t>SANTO TOMAS</t>
  </si>
  <si>
    <t>SOYANIQUILPAN DE JUAREZ</t>
  </si>
  <si>
    <t>TECAMAC</t>
  </si>
  <si>
    <t>TEPOTZOTLAN</t>
  </si>
  <si>
    <t>TEXCALTITLAN</t>
  </si>
  <si>
    <t>TULTITLAN</t>
  </si>
  <si>
    <t>XONACATLAN</t>
  </si>
  <si>
    <t>ZUMPAHUACAN</t>
  </si>
  <si>
    <t>NEZAHUALCOYOTL</t>
  </si>
  <si>
    <t>RAYON</t>
  </si>
  <si>
    <t>SAN JOSE DEL RINCON</t>
  </si>
  <si>
    <t>SAN SIMON DE GUERRERO</t>
  </si>
  <si>
    <t>VILLA DEL CARBON</t>
  </si>
  <si>
    <t>ALMOLOYA DEL RIO</t>
  </si>
  <si>
    <t>SAN MARTIN DE LAS PIRAMIDES</t>
  </si>
  <si>
    <t>NO B</t>
  </si>
  <si>
    <t>monto</t>
  </si>
  <si>
    <t>no b</t>
  </si>
  <si>
    <t>No. Ben</t>
  </si>
  <si>
    <t>MONTO</t>
  </si>
  <si>
    <t>BEN</t>
  </si>
  <si>
    <t xml:space="preserve">SUB REFO </t>
  </si>
  <si>
    <t xml:space="preserve">SUB PFC </t>
  </si>
  <si>
    <t>SUB CARBONO</t>
  </si>
  <si>
    <t>SUB PSA</t>
  </si>
  <si>
    <t>SUB MANEJO</t>
  </si>
  <si>
    <t>beneficiarios</t>
  </si>
  <si>
    <t>texm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</si>
  <si>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</si>
  <si>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</si>
  <si>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</si>
  <si>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</si>
  <si>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</si>
  <si>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</si>
  <si>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</si>
  <si>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</si>
  <si>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</si>
  <si>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</si>
  <si>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</si>
  <si>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</si>
  <si>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</si>
  <si>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</si>
  <si>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</si>
  <si>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</si>
  <si>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</si>
  <si>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</si>
  <si>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</si>
  <si>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</si>
  <si>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</si>
  <si>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tabla1</t>
  </si>
  <si>
    <t>monto2</t>
  </si>
  <si>
    <t>monto3</t>
  </si>
  <si>
    <t>No. Ben4</t>
  </si>
  <si>
    <t>monto5</t>
  </si>
  <si>
    <t>No. Ben6</t>
  </si>
  <si>
    <t>monto7</t>
  </si>
  <si>
    <t>No. Ben8</t>
  </si>
  <si>
    <t>tabla2</t>
  </si>
  <si>
    <t>2022</t>
  </si>
  <si>
    <t>tabla3</t>
  </si>
  <si>
    <t>Estudios</t>
  </si>
  <si>
    <t>ha.</t>
  </si>
  <si>
    <t>amecameca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</si>
</sst>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8"/>
      <name val="Calibri"/>
      <family val="2"/>
      <scheme val="minor"/>
    </font>
    <font>
      <sz val="7"/>
      <color theme="1"/>
      <name val="Helvetica"/>
    </font>
    <font>
      <b/>
      <sz val="7"/>
      <color theme="1"/>
      <name val="Helvetica"/>
    </font>
    <font>
      <b/>
      <sz val="11"/>
      <color theme="1"/>
      <name val="Helvetica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44" fontId="0" fillId="0" borderId="1" xfId="3" applyFont="1" applyBorder="1" applyAlignment="1">
      <alignment horizontal="center"/>
    </xf>
    <xf numFmtId="44" fontId="0" fillId="0" borderId="1" xfId="3" applyFont="1" applyBorder="1" applyAlignment="1">
      <alignment horizontal="right"/>
    </xf>
    <xf numFmtId="44" fontId="0" fillId="0" borderId="0" xfId="3" applyFont="1" applyAlignment="1">
      <alignment horizontal="right"/>
    </xf>
    <xf numFmtId="44" fontId="0" fillId="3" borderId="1" xfId="3" applyFont="1" applyFill="1" applyBorder="1" applyAlignment="1">
      <alignment horizontal="center"/>
    </xf>
    <xf numFmtId="44" fontId="0" fillId="6" borderId="2" xfId="3" applyFont="1" applyFill="1" applyBorder="1" applyAlignment="1">
      <alignment horizontal="center"/>
    </xf>
    <xf numFmtId="44" fontId="0" fillId="7" borderId="2" xfId="3" applyFont="1" applyFill="1" applyBorder="1" applyAlignment="1">
      <alignment horizontal="center"/>
    </xf>
    <xf numFmtId="44" fontId="0" fillId="8" borderId="2" xfId="3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44" fontId="0" fillId="9" borderId="2" xfId="3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44" fontId="0" fillId="0" borderId="2" xfId="3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44" fontId="0" fillId="0" borderId="4" xfId="3" applyFon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0" xfId="3" applyFont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3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4" fontId="6" fillId="0" borderId="6" xfId="3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4" fontId="7" fillId="2" borderId="6" xfId="3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3" applyFont="1" applyBorder="1" applyAlignment="1">
      <alignment vertical="center" wrapText="1"/>
    </xf>
    <xf numFmtId="44" fontId="7" fillId="2" borderId="1" xfId="3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6" fillId="0" borderId="5" xfId="4" applyFont="1" applyBorder="1" applyAlignment="1">
      <alignment vertical="center" wrapText="1"/>
    </xf>
    <xf numFmtId="43" fontId="7" fillId="2" borderId="5" xfId="4" applyFont="1" applyFill="1" applyBorder="1" applyAlignment="1">
      <alignment vertical="center" wrapText="1"/>
    </xf>
    <xf numFmtId="43" fontId="0" fillId="0" borderId="0" xfId="4" applyFont="1"/>
    <xf numFmtId="44" fontId="0" fillId="0" borderId="0" xfId="3" applyFont="1" applyFill="1" applyAlignment="1">
      <alignment horizontal="right"/>
    </xf>
    <xf numFmtId="44" fontId="0" fillId="0" borderId="0" xfId="3" applyFont="1" applyAlignment="1">
      <alignment horizontal="center"/>
    </xf>
    <xf numFmtId="1" fontId="0" fillId="0" borderId="0" xfId="3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7" fillId="2" borderId="9" xfId="3" applyFont="1" applyFill="1" applyBorder="1" applyAlignment="1">
      <alignment horizontal="center" vertical="center" wrapText="1"/>
    </xf>
    <xf numFmtId="44" fontId="7" fillId="2" borderId="11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5">
    <cellStyle name="Millares" xfId="4" builtinId="3"/>
    <cellStyle name="Moneda" xfId="3" builtinId="4"/>
    <cellStyle name="Normal" xfId="0" builtinId="0"/>
    <cellStyle name="Normal 2" xfId="1" xr:uid="{E3AA7264-0AFD-4395-B30A-7EBD253147FD}"/>
    <cellStyle name="Normal 3" xfId="2" xr:uid="{094CA912-C8C8-438F-98EF-85EA9B9012C5}"/>
  </cellStyles>
  <dxfs count="64"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74A5CD-B7E9-4333-8660-8FEBAC04CD25}" name="Tabla1" displayName="Tabla1" ref="A2:U129" totalsRowShown="0" headerRowDxfId="63" dataDxfId="61" headerRowBorderDxfId="62" tableBorderDxfId="60">
  <autoFilter ref="A2:U129" xr:uid="{8874A5CD-B7E9-4333-8660-8FEBAC04CD25}"/>
  <tableColumns count="21">
    <tableColumn id="1" xr3:uid="{3C0642DE-9E38-4788-B0C5-E662555A8CFC}" name="Columna1" dataDxfId="59"/>
    <tableColumn id="2" xr3:uid="{E5A257F4-7D6B-484D-897B-B2C433C769F8}" name="Columna2" dataDxfId="58"/>
    <tableColumn id="3" xr3:uid="{3F6E40A7-9111-44EC-825C-F97EE5FC0E3E}" name="Columna3" dataDxfId="57"/>
    <tableColumn id="4" xr3:uid="{B50A6683-FA1B-43E3-ADAE-404DB21E8773}" name="Columna4" dataDxfId="56">
      <calculatedColumnFormula>TEXT(E3,"$#,##0.00")</calculatedColumnFormula>
    </tableColumn>
    <tableColumn id="5" xr3:uid="{B9BA78DF-6101-4774-BD3A-A04A1F363D90}" name="Columna5" dataDxfId="55" dataCellStyle="Moneda"/>
    <tableColumn id="6" xr3:uid="{797E479C-0BB0-45A6-8B64-6A63F114CB97}" name="Columna6" dataDxfId="54"/>
    <tableColumn id="7" xr3:uid="{BE0F4F47-44B4-4CE8-BCFA-9713F0C1E8AC}" name="Columna7" dataDxfId="53"/>
    <tableColumn id="8" xr3:uid="{C8FAA41C-1269-43F8-859D-907ADA23FAE7}" name="Columna8" dataDxfId="52">
      <calculatedColumnFormula>TEXT(I3,"$#,##0.00")</calculatedColumnFormula>
    </tableColumn>
    <tableColumn id="9" xr3:uid="{D25F06F0-18A5-4DA1-86C5-1DE317418D01}" name="Columna9" dataDxfId="51" dataCellStyle="Moneda"/>
    <tableColumn id="10" xr3:uid="{00B1F3CB-DEA6-432F-9085-D43E629CA81C}" name="Columna10" dataDxfId="50"/>
    <tableColumn id="11" xr3:uid="{677CC09A-AEC1-44D6-BA4B-F087499D27B6}" name="Columna11" dataDxfId="49"/>
    <tableColumn id="12" xr3:uid="{BE5893BB-3C4D-4AB8-B0E3-787B140E0497}" name="Columna12" dataDxfId="48">
      <calculatedColumnFormula>TEXT(M3,"$#,##0.00")</calculatedColumnFormula>
    </tableColumn>
    <tableColumn id="13" xr3:uid="{C2772BF8-B420-45A7-95EF-A83A91CE71DA}" name="Columna13" dataDxfId="47" dataCellStyle="Moneda"/>
    <tableColumn id="14" xr3:uid="{D38C3703-D569-4783-B286-5DC68734CFD5}" name="Columna14" dataDxfId="46"/>
    <tableColumn id="15" xr3:uid="{F868582A-0E1C-4A1D-A945-54F21F88B7CE}" name="Columna15" dataDxfId="45"/>
    <tableColumn id="16" xr3:uid="{212B6F8D-AA13-483D-8A82-614B3AE55541}" name="Columna16" dataDxfId="44">
      <calculatedColumnFormula>TEXT(Q3,"$#,##0.00")</calculatedColumnFormula>
    </tableColumn>
    <tableColumn id="17" xr3:uid="{E8EC0ED5-3D6C-4B2D-BE0B-64ADDE8492E5}" name="Columna17" dataDxfId="43" dataCellStyle="Moneda"/>
    <tableColumn id="18" xr3:uid="{E2DD628E-FC52-4D17-9141-FFABBCCE5B84}" name="Columna18" dataDxfId="42"/>
    <tableColumn id="19" xr3:uid="{9BD8F95C-3302-4654-936E-CAB1231EC3E8}" name="Columna19" dataDxfId="41"/>
    <tableColumn id="20" xr3:uid="{EA3BE8DD-EE34-4C21-AAEE-3788B643AC62}" name="Columna20" dataDxfId="40" dataCellStyle="Moneda"/>
    <tableColumn id="21" xr3:uid="{1C5A64FA-0365-43A7-856C-E5FA3B7060F1}" name="Columna21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F2696F-E040-40ED-BCBE-A31A47234DB6}" name="Tabla2" displayName="Tabla2" ref="V2:AL127" totalsRowShown="0" headerRowBorderDxfId="38" tableBorderDxfId="37">
  <autoFilter ref="V2:AL127" xr:uid="{5EF2696F-E040-40ED-BCBE-A31A47234DB6}"/>
  <tableColumns count="17">
    <tableColumn id="1" xr3:uid="{2A988616-C355-495C-8A3D-569D90027C62}" name="ESTATAL" dataDxfId="36"/>
    <tableColumn id="2" xr3:uid="{496F9359-7784-4D09-8C90-EE6BB6A8566B}" name="año 1" dataDxfId="35"/>
    <tableColumn id="3" xr3:uid="{ED6F90D6-A239-4CF2-AE12-815E806693DB}" name="Refo" dataDxfId="34"/>
    <tableColumn id="4" xr3:uid="{A1891150-76B1-4FCF-B8AC-13422A4528AE}" name="monto" dataDxfId="33" dataCellStyle="Moneda"/>
    <tableColumn id="5" xr3:uid="{E4EF062E-8473-4EE7-B4F8-98BDCED366F2}" name="no b" dataDxfId="32"/>
    <tableColumn id="6" xr3:uid="{408BE36A-09C4-4ECA-8F1A-EC0CC5CABF6A}" name="pfc" dataDxfId="31"/>
    <tableColumn id="7" xr3:uid="{DDAEE71C-68A4-480D-9223-CF0C3402EC40}" name="monto2" dataDxfId="30" dataCellStyle="Moneda"/>
    <tableColumn id="8" xr3:uid="{1DC1E14A-85F6-4CDE-B63F-F9D846956B3F}" name="No. Ben" dataDxfId="29"/>
    <tableColumn id="9" xr3:uid="{610B5628-D376-491D-AE2A-37F18881A8CB}" name="procarbono" dataDxfId="28"/>
    <tableColumn id="10" xr3:uid="{70321C22-831E-4ED6-A3CC-1663C29CDD1E}" name="monto3" dataDxfId="27" dataCellStyle="Moneda"/>
    <tableColumn id="11" xr3:uid="{EADD2739-715A-4B40-B06C-11779518B44A}" name="No. Ben4" dataDxfId="26"/>
    <tableColumn id="12" xr3:uid="{9832C068-7CFC-4101-9440-3BB470F8C039}" name="PSA" dataDxfId="25"/>
    <tableColumn id="13" xr3:uid="{042B23C5-D85D-444C-B3E9-5CF428B3F881}" name="monto5" dataDxfId="24" dataCellStyle="Moneda"/>
    <tableColumn id="14" xr3:uid="{FBDE43BF-53B0-4841-8F43-0E993F2FF72E}" name="No. Ben6" dataDxfId="23"/>
    <tableColumn id="15" xr3:uid="{B6DEB138-E1DA-4997-AE4B-95F3CFE28063}" name="manejo" dataDxfId="22"/>
    <tableColumn id="16" xr3:uid="{9D6B29FB-AB57-4B42-8FFB-C6F8A5194E98}" name="monto7" dataDxfId="21" dataCellStyle="Moneda"/>
    <tableColumn id="17" xr3:uid="{9DF967E7-EF04-4F63-91BB-0C913E746B91}" name="No. Ben8" dataDxfId="2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B24875-EAA4-4007-8719-89A498C281E1}" name="Tabla3" displayName="Tabla3" ref="AN2:BD128" totalsRowShown="0" headerRowDxfId="19" dataDxfId="18" tableBorderDxfId="17">
  <autoFilter ref="AN2:BD128" xr:uid="{CEB24875-EAA4-4007-8719-89A498C281E1}"/>
  <tableColumns count="17">
    <tableColumn id="1" xr3:uid="{854AE839-1790-412F-A0CD-19D6D14963E7}" name="2022" dataDxfId="16"/>
    <tableColumn id="2" xr3:uid="{4C8570E1-3D3D-4465-9D82-5DBE21488EDB}" name="Columna1" dataDxfId="15"/>
    <tableColumn id="3" xr3:uid="{64ADA38F-9027-4860-A204-1003D3396A80}" name="Columna2" dataDxfId="14"/>
    <tableColumn id="4" xr3:uid="{2058EB8E-82AD-4881-AB97-76D026FC11BE}" name="Columna3" dataDxfId="13" dataCellStyle="Moneda"/>
    <tableColumn id="5" xr3:uid="{2798A09A-19B6-4AC0-83FD-B39B6A5DB38F}" name="Columna4" dataDxfId="12"/>
    <tableColumn id="6" xr3:uid="{026F74D7-9073-4069-8474-8292DE1C5383}" name="Columna5" dataDxfId="11"/>
    <tableColumn id="7" xr3:uid="{1493C53B-43A1-4DBA-9375-6945DE300CFE}" name="Columna6" dataDxfId="10" dataCellStyle="Moneda"/>
    <tableColumn id="8" xr3:uid="{789D7D4A-59BB-419C-9AD5-5EC59E74FE7A}" name="Columna7" dataDxfId="9"/>
    <tableColumn id="9" xr3:uid="{0692DE20-9490-4C37-871C-8DBE785BD681}" name="Columna8" dataDxfId="8"/>
    <tableColumn id="10" xr3:uid="{B056B70C-935F-4915-8CA2-9D87579C3EB9}" name="Columna9" dataDxfId="7" dataCellStyle="Moneda"/>
    <tableColumn id="11" xr3:uid="{F5A8943C-B4D7-477B-9040-3DD59BAC8608}" name="Columna10" dataDxfId="6"/>
    <tableColumn id="12" xr3:uid="{40E95D57-BE54-4164-A0E7-292AC5285BD0}" name="Columna11" dataDxfId="5"/>
    <tableColumn id="13" xr3:uid="{8C65C781-FC22-409A-A7AA-AE6EF2B28D6E}" name="Columna12" dataDxfId="4" dataCellStyle="Moneda"/>
    <tableColumn id="14" xr3:uid="{122AFFA7-A5E8-47EC-BA87-5034E5BACB19}" name="Columna13" dataDxfId="3"/>
    <tableColumn id="15" xr3:uid="{E988C359-B741-4A59-A063-1B414C01D810}" name="Columna14" dataDxfId="2"/>
    <tableColumn id="16" xr3:uid="{6B267F63-FAE5-41D4-9EF5-ED4669AB616D}" name="Columna15" dataDxfId="1" dataCellStyle="Moneda"/>
    <tableColumn id="17" xr3:uid="{1695A1FD-0098-49DD-8EA8-3ACD1EDC9EC2}" name="Columna16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CB40F-28C1-4BD6-B65E-094FB8DFE368}">
  <dimension ref="A3:F27"/>
  <sheetViews>
    <sheetView tabSelected="1" view="pageLayout" zoomScaleNormal="100" workbookViewId="0">
      <selection activeCell="C26" sqref="C26"/>
    </sheetView>
  </sheetViews>
  <sheetFormatPr baseColWidth="10" defaultRowHeight="15" x14ac:dyDescent="0.25"/>
  <cols>
    <col min="1" max="1" width="19.7109375" customWidth="1"/>
    <col min="3" max="3" width="8.140625" style="49" bestFit="1" customWidth="1"/>
    <col min="4" max="4" width="8.42578125" customWidth="1"/>
    <col min="5" max="5" width="12.7109375" style="33" bestFit="1" customWidth="1"/>
    <col min="6" max="6" width="11.42578125" style="8"/>
  </cols>
  <sheetData>
    <row r="3" spans="1:6" ht="15" customHeight="1" x14ac:dyDescent="0.25">
      <c r="B3" s="55" t="s">
        <v>12</v>
      </c>
      <c r="C3" s="55"/>
      <c r="D3" s="54" t="s">
        <v>194</v>
      </c>
      <c r="E3" s="54"/>
      <c r="F3" s="46"/>
    </row>
    <row r="4" spans="1:6" ht="18" x14ac:dyDescent="0.25">
      <c r="A4" s="34" t="s">
        <v>3</v>
      </c>
      <c r="B4" s="35" t="s">
        <v>4</v>
      </c>
      <c r="C4" s="56" t="s">
        <v>5</v>
      </c>
      <c r="D4" s="56"/>
      <c r="E4" s="36" t="s">
        <v>6</v>
      </c>
      <c r="F4" s="35" t="s">
        <v>7</v>
      </c>
    </row>
    <row r="5" spans="1:6" ht="15" customHeight="1" x14ac:dyDescent="0.25">
      <c r="A5" s="61" t="s">
        <v>8</v>
      </c>
      <c r="B5" s="37">
        <v>2020</v>
      </c>
      <c r="C5" s="47">
        <f>VLOOKUP($D$3,Tabla1[],3,0)</f>
        <v>50</v>
      </c>
      <c r="D5" s="38" t="s">
        <v>193</v>
      </c>
      <c r="E5" s="39">
        <f>VLOOKUP($D$3,Tabla1[],5,0)</f>
        <v>100000</v>
      </c>
      <c r="F5" s="42">
        <f>VLOOKUP($D$3,Tabla1[],6,0)</f>
        <v>1</v>
      </c>
    </row>
    <row r="6" spans="1:6" x14ac:dyDescent="0.25">
      <c r="A6" s="62"/>
      <c r="B6" s="37">
        <v>2021</v>
      </c>
      <c r="C6" s="47">
        <f>VLOOKUP($D$3,Tabla2[],3,0)</f>
        <v>16</v>
      </c>
      <c r="D6" s="38" t="s">
        <v>193</v>
      </c>
      <c r="E6" s="39">
        <f>VLOOKUP($D$3,Tabla2[],4,0)</f>
        <v>40000</v>
      </c>
      <c r="F6" s="42">
        <f>VLOOKUP($D$3,Tabla2[],5,0)</f>
        <v>3</v>
      </c>
    </row>
    <row r="7" spans="1:6" x14ac:dyDescent="0.25">
      <c r="A7" s="63"/>
      <c r="B7" s="37">
        <v>2022</v>
      </c>
      <c r="C7" s="47">
        <f>VLOOKUP($D$3,Tabla3[],3,0)</f>
        <v>71.5</v>
      </c>
      <c r="D7" s="38" t="s">
        <v>193</v>
      </c>
      <c r="E7" s="39">
        <f>VLOOKUP($D$3,Tabla3[],4,0)</f>
        <v>178750</v>
      </c>
      <c r="F7" s="42">
        <f>VLOOKUP($D$3,Tabla3[],5,0)</f>
        <v>3</v>
      </c>
    </row>
    <row r="8" spans="1:6" x14ac:dyDescent="0.25">
      <c r="A8" s="68" t="s">
        <v>0</v>
      </c>
      <c r="B8" s="69"/>
      <c r="C8" s="48">
        <f t="shared" ref="C8:F8" si="0">SUM(C5:C7)</f>
        <v>137.5</v>
      </c>
      <c r="D8" s="40" t="s">
        <v>193</v>
      </c>
      <c r="E8" s="41">
        <f t="shared" si="0"/>
        <v>318750</v>
      </c>
      <c r="F8" s="45">
        <f t="shared" si="0"/>
        <v>7</v>
      </c>
    </row>
    <row r="9" spans="1:6" ht="15" customHeight="1" x14ac:dyDescent="0.25">
      <c r="A9" s="61" t="s">
        <v>9</v>
      </c>
      <c r="B9" s="42">
        <v>2020</v>
      </c>
      <c r="C9" s="47">
        <f>VLOOKUP($D$3,Tabla1[],7,0)</f>
        <v>1</v>
      </c>
      <c r="D9" s="38" t="s">
        <v>193</v>
      </c>
      <c r="E9" s="43">
        <f>VLOOKUP($D$3,Tabla1[],9,0)</f>
        <v>5000</v>
      </c>
      <c r="F9" s="42">
        <f>VLOOKUP($D$3,Tabla1[],10,0)</f>
        <v>1</v>
      </c>
    </row>
    <row r="10" spans="1:6" x14ac:dyDescent="0.25">
      <c r="A10" s="62"/>
      <c r="B10" s="42">
        <v>2021</v>
      </c>
      <c r="C10" s="47">
        <f>VLOOKUP($D$3,Tabla2[],6,0)</f>
        <v>5</v>
      </c>
      <c r="D10" s="38" t="s">
        <v>193</v>
      </c>
      <c r="E10" s="43">
        <f>VLOOKUP($D$3,Tabla2[],7,0)</f>
        <v>64000</v>
      </c>
      <c r="F10" s="42">
        <f>VLOOKUP($D$3,Tabla2[],8,0)</f>
        <v>4</v>
      </c>
    </row>
    <row r="11" spans="1:6" x14ac:dyDescent="0.25">
      <c r="A11" s="63"/>
      <c r="B11" s="42">
        <v>2022</v>
      </c>
      <c r="C11" s="47">
        <f>VLOOKUP($D$3,Tabla3[],6,0)</f>
        <v>4</v>
      </c>
      <c r="D11" s="38" t="s">
        <v>193</v>
      </c>
      <c r="E11" s="43">
        <f>VLOOKUP($D$3,Tabla3[],7,0)</f>
        <v>20000</v>
      </c>
      <c r="F11" s="42">
        <f>VLOOKUP($D$3,Tabla3[],8,0)</f>
        <v>1</v>
      </c>
    </row>
    <row r="12" spans="1:6" x14ac:dyDescent="0.25">
      <c r="A12" s="68" t="s">
        <v>0</v>
      </c>
      <c r="B12" s="69"/>
      <c r="C12" s="48">
        <f t="shared" ref="C12" si="1">SUM(C9:C11)</f>
        <v>10</v>
      </c>
      <c r="D12" s="40" t="s">
        <v>193</v>
      </c>
      <c r="E12" s="44">
        <f t="shared" ref="E12" si="2">SUM(E9:E11)</f>
        <v>89000</v>
      </c>
      <c r="F12" s="45">
        <f t="shared" ref="F12" si="3">SUM(F9:F11)</f>
        <v>6</v>
      </c>
    </row>
    <row r="13" spans="1:6" ht="15" customHeight="1" x14ac:dyDescent="0.25">
      <c r="A13" s="61" t="s">
        <v>1</v>
      </c>
      <c r="B13" s="42">
        <v>2020</v>
      </c>
      <c r="C13" s="47">
        <f>VLOOKUP($D$3,Tabla1[],11,0)</f>
        <v>159</v>
      </c>
      <c r="D13" s="38" t="s">
        <v>193</v>
      </c>
      <c r="E13" s="43">
        <f>VLOOKUP($D$3,Tabla1[],13,0)</f>
        <v>238500</v>
      </c>
      <c r="F13" s="42">
        <f>VLOOKUP($D$3,Tabla1[],14,0)</f>
        <v>2</v>
      </c>
    </row>
    <row r="14" spans="1:6" x14ac:dyDescent="0.25">
      <c r="A14" s="62"/>
      <c r="B14" s="42">
        <v>2021</v>
      </c>
      <c r="C14" s="47">
        <f>VLOOKUP($D$3,Tabla2[],9,0)</f>
        <v>159</v>
      </c>
      <c r="D14" s="38" t="s">
        <v>193</v>
      </c>
      <c r="E14" s="43">
        <f>VLOOKUP($D$3,Tabla2[],10,0)</f>
        <v>238500</v>
      </c>
      <c r="F14" s="42">
        <f>VLOOKUP($D$3,Tabla2[],11,0)</f>
        <v>2</v>
      </c>
    </row>
    <row r="15" spans="1:6" x14ac:dyDescent="0.25">
      <c r="A15" s="63"/>
      <c r="B15" s="42">
        <v>2022</v>
      </c>
      <c r="C15" s="47">
        <f>VLOOKUP($D$3,Tabla3[],9,0)</f>
        <v>9</v>
      </c>
      <c r="D15" s="38" t="s">
        <v>193</v>
      </c>
      <c r="E15" s="43">
        <f>VLOOKUP($D$3,Tabla3[],10,0)</f>
        <v>13500</v>
      </c>
      <c r="F15" s="42">
        <f>VLOOKUP($D$3,Tabla3[],11,0)</f>
        <v>1</v>
      </c>
    </row>
    <row r="16" spans="1:6" x14ac:dyDescent="0.25">
      <c r="A16" s="68" t="s">
        <v>0</v>
      </c>
      <c r="B16" s="69"/>
      <c r="C16" s="48">
        <f t="shared" ref="C16" si="4">SUM(C13:C15)</f>
        <v>327</v>
      </c>
      <c r="D16" s="40" t="s">
        <v>193</v>
      </c>
      <c r="E16" s="44">
        <f t="shared" ref="E16" si="5">SUM(E13:E15)</f>
        <v>490500</v>
      </c>
      <c r="F16" s="45">
        <f t="shared" ref="F16" si="6">SUM(F13:F15)</f>
        <v>5</v>
      </c>
    </row>
    <row r="17" spans="1:6" ht="15" customHeight="1" x14ac:dyDescent="0.25">
      <c r="A17" s="61" t="s">
        <v>10</v>
      </c>
      <c r="B17" s="42">
        <v>2020</v>
      </c>
      <c r="C17" s="47">
        <f>VLOOKUP($D$3,Tabla1[],15,0)</f>
        <v>753</v>
      </c>
      <c r="D17" s="38" t="s">
        <v>193</v>
      </c>
      <c r="E17" s="43">
        <f>VLOOKUP($D$3,Tabla1[],17,0)</f>
        <v>1129500</v>
      </c>
      <c r="F17" s="42">
        <f>VLOOKUP($D$3,Tabla1[],18,0)</f>
        <v>3</v>
      </c>
    </row>
    <row r="18" spans="1:6" x14ac:dyDescent="0.25">
      <c r="A18" s="62"/>
      <c r="B18" s="42">
        <v>2021</v>
      </c>
      <c r="C18" s="47">
        <f>VLOOKUP($D$3,Tabla2[],12,0)</f>
        <v>1351</v>
      </c>
      <c r="D18" s="38" t="s">
        <v>193</v>
      </c>
      <c r="E18" s="43">
        <f>VLOOKUP($D$3,Tabla2[],13,0)</f>
        <v>2026500</v>
      </c>
      <c r="F18" s="42">
        <f>VLOOKUP($D$3,Tabla2[],14,0)</f>
        <v>5</v>
      </c>
    </row>
    <row r="19" spans="1:6" x14ac:dyDescent="0.25">
      <c r="A19" s="63"/>
      <c r="B19" s="42">
        <v>2022</v>
      </c>
      <c r="C19" s="47">
        <f>VLOOKUP($D$3,Tabla3[],12,0)</f>
        <v>1004</v>
      </c>
      <c r="D19" s="38" t="s">
        <v>193</v>
      </c>
      <c r="E19" s="43">
        <f>VLOOKUP($D$3,Tabla3[],13,0)</f>
        <v>1506000</v>
      </c>
      <c r="F19" s="42">
        <f>VLOOKUP($D$3,Tabla3[],14,0)</f>
        <v>5</v>
      </c>
    </row>
    <row r="20" spans="1:6" x14ac:dyDescent="0.25">
      <c r="A20" s="68" t="s">
        <v>0</v>
      </c>
      <c r="B20" s="69"/>
      <c r="C20" s="48">
        <f t="shared" ref="C20" si="7">SUM(C17:C19)</f>
        <v>3108</v>
      </c>
      <c r="D20" s="40" t="s">
        <v>193</v>
      </c>
      <c r="E20" s="44">
        <f t="shared" ref="E20" si="8">SUM(E17:E19)</f>
        <v>4662000</v>
      </c>
      <c r="F20" s="45">
        <f t="shared" ref="F20" si="9">SUM(F17:F19)</f>
        <v>13</v>
      </c>
    </row>
    <row r="21" spans="1:6" ht="15" customHeight="1" x14ac:dyDescent="0.25">
      <c r="A21" s="61" t="s">
        <v>11</v>
      </c>
      <c r="B21" s="42">
        <v>2020</v>
      </c>
      <c r="C21" s="47">
        <f>VLOOKUP($D$3,Tabla1[],19,0)</f>
        <v>3</v>
      </c>
      <c r="D21" s="38" t="s">
        <v>192</v>
      </c>
      <c r="E21" s="43">
        <f>VLOOKUP($D$3,Tabla1[],20,0)</f>
        <v>231428.56</v>
      </c>
      <c r="F21" s="42">
        <f>VLOOKUP($D$3,Tabla1[],21,0)</f>
        <v>3</v>
      </c>
    </row>
    <row r="22" spans="1:6" x14ac:dyDescent="0.25">
      <c r="A22" s="62"/>
      <c r="B22" s="42">
        <v>2021</v>
      </c>
      <c r="C22" s="47">
        <f>VLOOKUP($D$3,Tabla2[],15,0)</f>
        <v>1</v>
      </c>
      <c r="D22" s="38" t="s">
        <v>192</v>
      </c>
      <c r="E22" s="43">
        <f>VLOOKUP($D$3,Tabla2[],16,0)</f>
        <v>30000</v>
      </c>
      <c r="F22" s="42">
        <f>VLOOKUP($D$3,Tabla2[],17,0)</f>
        <v>1</v>
      </c>
    </row>
    <row r="23" spans="1:6" x14ac:dyDescent="0.25">
      <c r="A23" s="63"/>
      <c r="B23" s="42">
        <v>2022</v>
      </c>
      <c r="C23" s="47">
        <f>VLOOKUP($D$3,Tabla3[],15,0)</f>
        <v>2</v>
      </c>
      <c r="D23" s="38" t="s">
        <v>192</v>
      </c>
      <c r="E23" s="43">
        <f>VLOOKUP($D$3,Tabla3[],16,0)</f>
        <v>125000</v>
      </c>
      <c r="F23" s="42">
        <f>VLOOKUP($D$3,Tabla3[],17,0)</f>
        <v>2</v>
      </c>
    </row>
    <row r="24" spans="1:6" ht="14.25" customHeight="1" x14ac:dyDescent="0.25">
      <c r="A24" s="68" t="s">
        <v>0</v>
      </c>
      <c r="B24" s="69"/>
      <c r="C24" s="48">
        <f t="shared" ref="C24" si="10">SUM(C21:C23)</f>
        <v>6</v>
      </c>
      <c r="D24" s="40" t="s">
        <v>192</v>
      </c>
      <c r="E24" s="44">
        <f t="shared" ref="E24" si="11">SUM(E21:E23)</f>
        <v>386428.56</v>
      </c>
      <c r="F24" s="45">
        <f t="shared" ref="F24" si="12">SUM(F21:F23)</f>
        <v>6</v>
      </c>
    </row>
    <row r="25" spans="1:6" ht="6" customHeight="1" x14ac:dyDescent="0.25">
      <c r="A25" s="70"/>
      <c r="B25" s="71"/>
      <c r="C25" s="71"/>
      <c r="D25" s="71"/>
      <c r="E25" s="71"/>
      <c r="F25" s="72"/>
    </row>
    <row r="26" spans="1:6" x14ac:dyDescent="0.25">
      <c r="A26" s="64" t="s">
        <v>2</v>
      </c>
      <c r="B26" s="65"/>
      <c r="C26" s="48">
        <f>C20+C16+C12+C8</f>
        <v>3582.5</v>
      </c>
      <c r="D26" s="40" t="s">
        <v>193</v>
      </c>
      <c r="E26" s="57">
        <f>SUM(E24+E20+E16+E12+E8)</f>
        <v>5946678.5599999996</v>
      </c>
      <c r="F26" s="59">
        <f>SUM(F24+F20+F16+F12+F8)</f>
        <v>37</v>
      </c>
    </row>
    <row r="27" spans="1:6" ht="13.5" customHeight="1" x14ac:dyDescent="0.25">
      <c r="A27" s="66"/>
      <c r="B27" s="67"/>
      <c r="C27" s="48">
        <f>C24</f>
        <v>6</v>
      </c>
      <c r="D27" s="40" t="s">
        <v>192</v>
      </c>
      <c r="E27" s="58"/>
      <c r="F27" s="60"/>
    </row>
  </sheetData>
  <mergeCells count="17">
    <mergeCell ref="A5:A7"/>
    <mergeCell ref="A9:A11"/>
    <mergeCell ref="A13:A15"/>
    <mergeCell ref="A17:A19"/>
    <mergeCell ref="A21:A23"/>
    <mergeCell ref="A20:B20"/>
    <mergeCell ref="A16:B16"/>
    <mergeCell ref="A12:B12"/>
    <mergeCell ref="A8:B8"/>
    <mergeCell ref="D3:E3"/>
    <mergeCell ref="B3:C3"/>
    <mergeCell ref="C4:D4"/>
    <mergeCell ref="E26:E27"/>
    <mergeCell ref="F26:F27"/>
    <mergeCell ref="A26:B27"/>
    <mergeCell ref="A24:B24"/>
    <mergeCell ref="A25:F25"/>
  </mergeCells>
  <pageMargins left="0.70866141732283472" right="0.70866141732283472" top="0.74803149606299213" bottom="0.74803149606299213" header="0.31496062992125984" footer="0.31496062992125984"/>
  <pageSetup paperSize="70" scale="47" fitToWidth="0" orientation="portrait" r:id="rId1"/>
  <headerFooter>
    <oddHeader>&amp;L&amp;G&amp;C
"2023. Año del Septuagésimo Aniversario del Reconocimiento del Derecho al Voto de las Mujeres en México."&amp;R&amp;G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0A694-EDFB-4BE6-B745-8F1D46A393BD}">
  <dimension ref="A1:BW131"/>
  <sheetViews>
    <sheetView topLeftCell="AP1" zoomScale="85" zoomScaleNormal="85" workbookViewId="0">
      <pane ySplit="4" topLeftCell="A101" activePane="bottomLeft" state="frozen"/>
      <selection activeCell="C1" sqref="C1"/>
      <selection pane="bottomLeft" activeCell="BD2" sqref="BD2"/>
    </sheetView>
  </sheetViews>
  <sheetFormatPr baseColWidth="10" defaultRowHeight="15" x14ac:dyDescent="0.25"/>
  <cols>
    <col min="1" max="1" width="29.42578125" style="3" customWidth="1"/>
    <col min="2" max="4" width="11.42578125" style="5" customWidth="1"/>
    <col min="5" max="5" width="14.140625" style="17" customWidth="1"/>
    <col min="6" max="7" width="11.42578125" style="5" customWidth="1"/>
    <col min="8" max="8" width="12.85546875" style="5" customWidth="1"/>
    <col min="9" max="9" width="14.7109375" style="17" bestFit="1" customWidth="1"/>
    <col min="10" max="12" width="12.42578125" style="5" customWidth="1"/>
    <col min="13" max="13" width="14.140625" style="17" customWidth="1"/>
    <col min="14" max="15" width="12.42578125" style="5" customWidth="1"/>
    <col min="16" max="16" width="13.7109375" style="5" customWidth="1"/>
    <col min="17" max="17" width="19.140625" style="17" customWidth="1"/>
    <col min="18" max="19" width="12.42578125" style="5" customWidth="1"/>
    <col min="20" max="20" width="14.140625" style="17" customWidth="1"/>
    <col min="21" max="22" width="12.42578125" style="5" customWidth="1"/>
    <col min="23" max="23" width="7.7109375" style="5" customWidth="1"/>
    <col min="24" max="24" width="11.42578125" style="5" customWidth="1"/>
    <col min="25" max="25" width="14.140625" style="17" customWidth="1"/>
    <col min="26" max="26" width="11.42578125" style="5" customWidth="1"/>
    <col min="27" max="27" width="8.7109375" style="5" customWidth="1"/>
    <col min="28" max="28" width="14.140625" style="17" customWidth="1"/>
    <col min="29" max="29" width="9.7109375" style="5" customWidth="1"/>
    <col min="30" max="30" width="12.42578125" style="5" customWidth="1"/>
    <col min="31" max="31" width="14.140625" style="17" customWidth="1"/>
    <col min="32" max="33" width="11.42578125" style="5" customWidth="1"/>
    <col min="34" max="34" width="16.28515625" style="17" customWidth="1"/>
    <col min="35" max="36" width="11.42578125" style="5" customWidth="1"/>
    <col min="37" max="37" width="14.140625" style="17" customWidth="1"/>
    <col min="38" max="39" width="11.42578125" style="5" customWidth="1"/>
    <col min="40" max="40" width="11.42578125" style="3"/>
    <col min="41" max="41" width="11.42578125" style="5" customWidth="1"/>
    <col min="42" max="42" width="11.42578125" style="5"/>
    <col min="43" max="43" width="14.140625" style="17" bestFit="1" customWidth="1"/>
    <col min="44" max="45" width="11.42578125" style="5"/>
    <col min="46" max="46" width="14.140625" style="17" bestFit="1" customWidth="1"/>
    <col min="47" max="48" width="11.42578125" style="5"/>
    <col min="49" max="49" width="14.140625" style="17" bestFit="1" customWidth="1"/>
    <col min="50" max="51" width="12.42578125" style="5" customWidth="1"/>
    <col min="52" max="52" width="16.28515625" style="17" bestFit="1" customWidth="1"/>
    <col min="53" max="54" width="12.42578125" style="5" customWidth="1"/>
    <col min="55" max="55" width="14.140625" style="17" bestFit="1" customWidth="1"/>
    <col min="56" max="56" width="12.42578125" style="5" customWidth="1"/>
    <col min="57" max="57" width="11.42578125" style="5"/>
    <col min="58" max="58" width="14.28515625" style="5" hidden="1" customWidth="1"/>
    <col min="59" max="59" width="14.140625" style="17" hidden="1" customWidth="1"/>
    <col min="60" max="61" width="11.42578125" style="5" hidden="1" customWidth="1"/>
    <col min="62" max="62" width="14.140625" style="17" hidden="1" customWidth="1"/>
    <col min="63" max="64" width="11.42578125" style="5" hidden="1" customWidth="1"/>
    <col min="65" max="65" width="14.140625" style="17" hidden="1" customWidth="1"/>
    <col min="66" max="67" width="11.42578125" style="5" hidden="1" customWidth="1"/>
    <col min="68" max="68" width="15.140625" style="17" hidden="1" customWidth="1"/>
    <col min="69" max="70" width="11.42578125" style="5" hidden="1" customWidth="1"/>
    <col min="71" max="71" width="14.140625" style="17" hidden="1" customWidth="1"/>
    <col min="72" max="73" width="11.42578125" style="5" hidden="1" customWidth="1"/>
    <col min="74" max="74" width="15.140625" style="17" hidden="1" customWidth="1"/>
    <col min="75" max="75" width="11.42578125" style="5" hidden="1" customWidth="1"/>
    <col min="76" max="76" width="0" style="5" hidden="1" customWidth="1"/>
    <col min="77" max="16384" width="11.42578125" style="5"/>
  </cols>
  <sheetData>
    <row r="1" spans="1:75" x14ac:dyDescent="0.25">
      <c r="A1" s="3">
        <v>1</v>
      </c>
      <c r="B1" s="5">
        <v>2</v>
      </c>
      <c r="C1" s="5">
        <v>3</v>
      </c>
      <c r="D1" s="3">
        <v>4</v>
      </c>
      <c r="E1" s="5">
        <v>5</v>
      </c>
      <c r="F1" s="5">
        <v>6</v>
      </c>
      <c r="G1" s="3">
        <v>7</v>
      </c>
      <c r="H1" s="5">
        <v>8</v>
      </c>
      <c r="I1" s="5">
        <v>9</v>
      </c>
      <c r="J1" s="3">
        <v>10</v>
      </c>
      <c r="K1" s="5">
        <v>11</v>
      </c>
      <c r="L1" s="5">
        <v>12</v>
      </c>
      <c r="M1" s="3">
        <v>13</v>
      </c>
      <c r="N1" s="5">
        <v>14</v>
      </c>
      <c r="O1" s="5">
        <v>15</v>
      </c>
      <c r="P1" s="3">
        <v>16</v>
      </c>
      <c r="Q1" s="5">
        <v>17</v>
      </c>
      <c r="R1" s="5">
        <v>18</v>
      </c>
      <c r="S1" s="3">
        <v>19</v>
      </c>
      <c r="T1" s="5">
        <v>20</v>
      </c>
      <c r="U1" s="5">
        <v>21</v>
      </c>
      <c r="V1" s="3">
        <v>1</v>
      </c>
      <c r="W1" s="5">
        <v>2</v>
      </c>
      <c r="X1" s="5">
        <v>3</v>
      </c>
      <c r="Y1" s="3">
        <v>4</v>
      </c>
      <c r="Z1" s="5">
        <v>5</v>
      </c>
      <c r="AA1" s="5">
        <v>6</v>
      </c>
      <c r="AB1" s="3">
        <v>7</v>
      </c>
      <c r="AC1" s="5">
        <v>8</v>
      </c>
      <c r="AD1" s="5">
        <v>9</v>
      </c>
      <c r="AE1" s="3">
        <v>10</v>
      </c>
      <c r="AF1" s="5">
        <v>11</v>
      </c>
      <c r="AG1" s="5">
        <v>12</v>
      </c>
      <c r="AH1" s="3">
        <v>13</v>
      </c>
      <c r="AI1" s="5">
        <v>14</v>
      </c>
      <c r="AJ1" s="5">
        <v>15</v>
      </c>
      <c r="AK1" s="3">
        <v>16</v>
      </c>
      <c r="AL1" s="5">
        <v>17</v>
      </c>
      <c r="AN1" s="3">
        <v>1</v>
      </c>
      <c r="AO1" s="5">
        <v>2</v>
      </c>
      <c r="AP1" s="5">
        <v>3</v>
      </c>
      <c r="AQ1" s="5">
        <v>4</v>
      </c>
      <c r="AR1" s="5">
        <v>5</v>
      </c>
      <c r="AS1" s="5">
        <v>6</v>
      </c>
      <c r="AT1" s="52">
        <v>7</v>
      </c>
      <c r="AU1" s="5">
        <v>8</v>
      </c>
      <c r="AV1" s="5">
        <v>9</v>
      </c>
      <c r="AW1" s="5">
        <v>10</v>
      </c>
      <c r="AX1" s="5">
        <v>11</v>
      </c>
      <c r="AY1" s="5">
        <v>12</v>
      </c>
      <c r="AZ1" s="5">
        <v>13</v>
      </c>
      <c r="BA1" s="5">
        <v>14</v>
      </c>
      <c r="BB1" s="5">
        <v>15</v>
      </c>
      <c r="BC1" s="5">
        <v>16</v>
      </c>
      <c r="BD1" s="5">
        <v>17</v>
      </c>
      <c r="BE1" s="8"/>
    </row>
    <row r="2" spans="1:75" s="8" customFormat="1" x14ac:dyDescent="0.25">
      <c r="A2" s="24" t="s">
        <v>160</v>
      </c>
      <c r="B2" s="24" t="s">
        <v>161</v>
      </c>
      <c r="C2" s="24" t="s">
        <v>162</v>
      </c>
      <c r="D2" s="24" t="s">
        <v>163</v>
      </c>
      <c r="E2" s="24" t="s">
        <v>164</v>
      </c>
      <c r="F2" s="24" t="s">
        <v>165</v>
      </c>
      <c r="G2" s="24" t="s">
        <v>166</v>
      </c>
      <c r="H2" s="24" t="s">
        <v>167</v>
      </c>
      <c r="I2" s="24" t="s">
        <v>168</v>
      </c>
      <c r="J2" s="24" t="s">
        <v>169</v>
      </c>
      <c r="K2" s="24" t="s">
        <v>170</v>
      </c>
      <c r="L2" s="24" t="s">
        <v>171</v>
      </c>
      <c r="M2" s="24" t="s">
        <v>172</v>
      </c>
      <c r="N2" s="24" t="s">
        <v>173</v>
      </c>
      <c r="O2" s="24" t="s">
        <v>174</v>
      </c>
      <c r="P2" s="24" t="s">
        <v>175</v>
      </c>
      <c r="Q2" s="24" t="s">
        <v>176</v>
      </c>
      <c r="R2" s="24" t="s">
        <v>177</v>
      </c>
      <c r="S2" s="24" t="s">
        <v>178</v>
      </c>
      <c r="T2" s="24" t="s">
        <v>179</v>
      </c>
      <c r="U2" s="24" t="s">
        <v>180</v>
      </c>
      <c r="V2" s="29" t="s">
        <v>109</v>
      </c>
      <c r="W2" s="30" t="s">
        <v>116</v>
      </c>
      <c r="X2" s="30" t="s">
        <v>110</v>
      </c>
      <c r="Y2" s="31" t="s">
        <v>148</v>
      </c>
      <c r="Z2" s="29" t="s">
        <v>149</v>
      </c>
      <c r="AA2" s="30" t="s">
        <v>111</v>
      </c>
      <c r="AB2" s="31" t="s">
        <v>182</v>
      </c>
      <c r="AC2" s="29" t="s">
        <v>150</v>
      </c>
      <c r="AD2" s="30" t="s">
        <v>112</v>
      </c>
      <c r="AE2" s="31" t="s">
        <v>183</v>
      </c>
      <c r="AF2" s="29" t="s">
        <v>184</v>
      </c>
      <c r="AG2" s="30" t="s">
        <v>113</v>
      </c>
      <c r="AH2" s="31" t="s">
        <v>185</v>
      </c>
      <c r="AI2" s="29" t="s">
        <v>186</v>
      </c>
      <c r="AJ2" s="30" t="s">
        <v>114</v>
      </c>
      <c r="AK2" s="31" t="s">
        <v>187</v>
      </c>
      <c r="AL2" s="32" t="s">
        <v>188</v>
      </c>
      <c r="AM2" s="1"/>
      <c r="AN2" s="3" t="s">
        <v>190</v>
      </c>
      <c r="AO2" s="8" t="s">
        <v>160</v>
      </c>
      <c r="AP2" s="8" t="s">
        <v>161</v>
      </c>
      <c r="AQ2" s="8" t="s">
        <v>162</v>
      </c>
      <c r="AR2" s="8" t="s">
        <v>163</v>
      </c>
      <c r="AS2" s="8" t="s">
        <v>164</v>
      </c>
      <c r="AT2" s="51" t="s">
        <v>165</v>
      </c>
      <c r="AU2" s="8" t="s">
        <v>166</v>
      </c>
      <c r="AV2" s="8" t="s">
        <v>167</v>
      </c>
      <c r="AW2" s="8" t="s">
        <v>168</v>
      </c>
      <c r="AX2" s="8" t="s">
        <v>169</v>
      </c>
      <c r="AY2" s="8" t="s">
        <v>170</v>
      </c>
      <c r="AZ2" s="8" t="s">
        <v>171</v>
      </c>
      <c r="BA2" s="8" t="s">
        <v>172</v>
      </c>
      <c r="BB2" s="8" t="s">
        <v>173</v>
      </c>
      <c r="BC2" s="8" t="s">
        <v>174</v>
      </c>
      <c r="BD2" s="8" t="s">
        <v>175</v>
      </c>
      <c r="BE2" s="1"/>
      <c r="BF2" s="6" t="s">
        <v>153</v>
      </c>
      <c r="BG2" s="18" t="s">
        <v>151</v>
      </c>
      <c r="BH2" s="6" t="s">
        <v>152</v>
      </c>
      <c r="BI2" s="9" t="s">
        <v>154</v>
      </c>
      <c r="BJ2" s="19" t="s">
        <v>151</v>
      </c>
      <c r="BK2" s="10" t="s">
        <v>152</v>
      </c>
      <c r="BL2" s="11" t="s">
        <v>155</v>
      </c>
      <c r="BM2" s="20" t="s">
        <v>151</v>
      </c>
      <c r="BN2" s="12" t="s">
        <v>152</v>
      </c>
      <c r="BO2" s="13" t="s">
        <v>156</v>
      </c>
      <c r="BP2" s="21" t="s">
        <v>151</v>
      </c>
      <c r="BQ2" s="14" t="s">
        <v>152</v>
      </c>
      <c r="BR2" s="13" t="s">
        <v>157</v>
      </c>
      <c r="BS2" s="21" t="s">
        <v>151</v>
      </c>
      <c r="BT2" s="14" t="s">
        <v>152</v>
      </c>
      <c r="BU2" s="22" t="s">
        <v>2</v>
      </c>
      <c r="BV2" s="23" t="s">
        <v>148</v>
      </c>
      <c r="BW2" s="22" t="s">
        <v>158</v>
      </c>
    </row>
    <row r="3" spans="1:75" x14ac:dyDescent="0.25">
      <c r="A3" s="24">
        <v>2020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" t="s">
        <v>119</v>
      </c>
      <c r="W3" s="4">
        <v>2021</v>
      </c>
      <c r="X3" s="4">
        <v>33.200000000000003</v>
      </c>
      <c r="Y3" s="16">
        <v>83000</v>
      </c>
      <c r="Z3" s="4">
        <v>4</v>
      </c>
      <c r="AA3" s="4">
        <v>19.3</v>
      </c>
      <c r="AB3" s="16">
        <v>186500</v>
      </c>
      <c r="AC3" s="4">
        <v>4</v>
      </c>
      <c r="AD3" s="4">
        <v>59</v>
      </c>
      <c r="AE3" s="16">
        <v>88500</v>
      </c>
      <c r="AF3" s="4">
        <v>2</v>
      </c>
      <c r="AG3" s="4">
        <v>1598.8</v>
      </c>
      <c r="AH3" s="16">
        <v>2398200</v>
      </c>
      <c r="AI3" s="4">
        <v>9</v>
      </c>
      <c r="AJ3" s="4">
        <v>3</v>
      </c>
      <c r="AK3" s="16">
        <v>105000</v>
      </c>
      <c r="AL3" s="28">
        <v>3</v>
      </c>
      <c r="AM3" s="4"/>
      <c r="AN3" s="3" t="s">
        <v>109</v>
      </c>
      <c r="AO3" s="7" t="s">
        <v>117</v>
      </c>
      <c r="AP3" s="7" t="s">
        <v>110</v>
      </c>
      <c r="AQ3" s="15" t="s">
        <v>148</v>
      </c>
      <c r="AR3" s="1" t="s">
        <v>147</v>
      </c>
      <c r="AS3" s="7" t="s">
        <v>111</v>
      </c>
      <c r="AT3" s="15" t="s">
        <v>148</v>
      </c>
      <c r="AU3" s="1" t="s">
        <v>147</v>
      </c>
      <c r="AV3" s="7" t="s">
        <v>112</v>
      </c>
      <c r="AW3" s="15" t="s">
        <v>148</v>
      </c>
      <c r="AX3" s="1" t="s">
        <v>147</v>
      </c>
      <c r="AY3" s="7" t="s">
        <v>113</v>
      </c>
      <c r="AZ3" s="15" t="s">
        <v>148</v>
      </c>
      <c r="BA3" s="1" t="s">
        <v>147</v>
      </c>
      <c r="BB3" s="7" t="s">
        <v>114</v>
      </c>
      <c r="BC3" s="15" t="s">
        <v>148</v>
      </c>
      <c r="BD3" s="1" t="s">
        <v>147</v>
      </c>
      <c r="BE3" s="4"/>
      <c r="BF3" s="4">
        <f t="shared" ref="BF3:BF34" si="0">C5+X3+AP4</f>
        <v>175.35000000000002</v>
      </c>
      <c r="BG3" s="16">
        <f t="shared" ref="BG3:BG34" si="1">E5+Y3+AQ4</f>
        <v>388825</v>
      </c>
      <c r="BH3" s="4">
        <f t="shared" ref="BH3:BH34" si="2">F5+Z3+AR4</f>
        <v>17</v>
      </c>
      <c r="BI3" s="4">
        <f t="shared" ref="BI3:BI34" si="3">G5+AA3+AS4</f>
        <v>41.3</v>
      </c>
      <c r="BJ3" s="16">
        <f t="shared" ref="BJ3:BJ34" si="4">I5+AB3+AT4</f>
        <v>296500</v>
      </c>
      <c r="BK3" s="4">
        <f t="shared" ref="BK3:BK34" si="5">J5+AC3+AU4</f>
        <v>6</v>
      </c>
      <c r="BL3" s="4">
        <f t="shared" ref="BL3:BL34" si="6">K5+AD3+AV4</f>
        <v>144</v>
      </c>
      <c r="BM3" s="16">
        <f t="shared" ref="BM3:BM34" si="7">M5+AE3+AW4</f>
        <v>216000</v>
      </c>
      <c r="BN3" s="4">
        <f t="shared" ref="BN3:BN34" si="8">N5+AF3+AX4</f>
        <v>7</v>
      </c>
      <c r="BO3" s="4">
        <f t="shared" ref="BO3:BO34" si="9">O5+AG3+AY4</f>
        <v>4286.3999999999996</v>
      </c>
      <c r="BP3" s="16">
        <f t="shared" ref="BP3:BP34" si="10">Q5+AH3+AZ4</f>
        <v>6429600</v>
      </c>
      <c r="BQ3" s="4">
        <f t="shared" ref="BQ3:BQ34" si="11">R5+AI3+BA4</f>
        <v>26</v>
      </c>
      <c r="BR3" s="4">
        <f t="shared" ref="BR3:BR34" si="12">S5+AJ3+BB4</f>
        <v>6</v>
      </c>
      <c r="BS3" s="16">
        <f t="shared" ref="BS3:BS34" si="13">T5+AK3+BC4</f>
        <v>175000</v>
      </c>
      <c r="BT3" s="4">
        <f t="shared" ref="BT3:BT34" si="14">U5+AL3+BD4</f>
        <v>6</v>
      </c>
      <c r="BU3" s="4">
        <f>BF3+BI3+BL3+BO3</f>
        <v>4647.0499999999993</v>
      </c>
      <c r="BV3" s="16">
        <f>BG3+BJ3+BM3+BP3+BS3</f>
        <v>7505925</v>
      </c>
      <c r="BW3" s="4">
        <f>BH3+BK3+BN3+BQ3+BT3</f>
        <v>62</v>
      </c>
    </row>
    <row r="4" spans="1:75" x14ac:dyDescent="0.25">
      <c r="A4" s="2" t="s">
        <v>109</v>
      </c>
      <c r="B4" s="6" t="s">
        <v>115</v>
      </c>
      <c r="C4" s="6" t="s">
        <v>110</v>
      </c>
      <c r="D4" s="6" t="s">
        <v>159</v>
      </c>
      <c r="E4" s="15" t="s">
        <v>148</v>
      </c>
      <c r="F4" s="1" t="s">
        <v>150</v>
      </c>
      <c r="G4" s="6" t="s">
        <v>111</v>
      </c>
      <c r="H4" s="6" t="s">
        <v>159</v>
      </c>
      <c r="I4" s="15" t="s">
        <v>148</v>
      </c>
      <c r="J4" s="1" t="s">
        <v>150</v>
      </c>
      <c r="K4" s="6" t="s">
        <v>112</v>
      </c>
      <c r="L4" s="6" t="s">
        <v>159</v>
      </c>
      <c r="M4" s="15" t="s">
        <v>148</v>
      </c>
      <c r="N4" s="1" t="s">
        <v>150</v>
      </c>
      <c r="O4" s="6" t="s">
        <v>113</v>
      </c>
      <c r="P4" s="6"/>
      <c r="Q4" s="15" t="s">
        <v>148</v>
      </c>
      <c r="R4" s="1" t="s">
        <v>150</v>
      </c>
      <c r="S4" s="6" t="s">
        <v>114</v>
      </c>
      <c r="T4" s="15" t="s">
        <v>148</v>
      </c>
      <c r="U4" s="1" t="s">
        <v>150</v>
      </c>
      <c r="V4" s="4" t="s">
        <v>14</v>
      </c>
      <c r="W4" s="4">
        <v>2021</v>
      </c>
      <c r="X4" s="4">
        <v>25</v>
      </c>
      <c r="Y4" s="16">
        <v>62500</v>
      </c>
      <c r="Z4" s="4">
        <v>1</v>
      </c>
      <c r="AA4" s="4">
        <v>6.8</v>
      </c>
      <c r="AB4" s="16">
        <v>34000</v>
      </c>
      <c r="AC4" s="4">
        <v>1</v>
      </c>
      <c r="AD4" s="4">
        <v>0</v>
      </c>
      <c r="AE4" s="16">
        <v>0</v>
      </c>
      <c r="AF4" s="4">
        <v>0</v>
      </c>
      <c r="AG4" s="4">
        <v>0</v>
      </c>
      <c r="AH4" s="16">
        <v>0</v>
      </c>
      <c r="AI4" s="4">
        <v>0</v>
      </c>
      <c r="AJ4" s="4">
        <v>0</v>
      </c>
      <c r="AK4" s="16">
        <v>0</v>
      </c>
      <c r="AL4" s="28">
        <v>0</v>
      </c>
      <c r="AM4" s="4"/>
      <c r="AN4" s="2" t="s">
        <v>119</v>
      </c>
      <c r="AO4" s="4">
        <v>2022</v>
      </c>
      <c r="AP4" s="4">
        <v>43.05</v>
      </c>
      <c r="AQ4" s="16">
        <v>107625</v>
      </c>
      <c r="AR4" s="4">
        <v>7</v>
      </c>
      <c r="AS4" s="4">
        <v>2</v>
      </c>
      <c r="AT4" s="16">
        <v>10000</v>
      </c>
      <c r="AU4" s="4">
        <v>1</v>
      </c>
      <c r="AV4" s="4">
        <v>77</v>
      </c>
      <c r="AW4" s="16">
        <v>115500</v>
      </c>
      <c r="AX4" s="4">
        <v>4</v>
      </c>
      <c r="AY4" s="4">
        <v>1777.8</v>
      </c>
      <c r="AZ4" s="16">
        <v>2666700</v>
      </c>
      <c r="BA4" s="4">
        <v>10</v>
      </c>
      <c r="BB4" s="4">
        <v>2</v>
      </c>
      <c r="BC4" s="16">
        <v>50000</v>
      </c>
      <c r="BD4" s="4">
        <v>2</v>
      </c>
      <c r="BE4" s="4"/>
      <c r="BF4" s="4">
        <f t="shared" si="0"/>
        <v>32.4</v>
      </c>
      <c r="BG4" s="16">
        <f t="shared" si="1"/>
        <v>81000</v>
      </c>
      <c r="BH4" s="4">
        <f t="shared" si="2"/>
        <v>2</v>
      </c>
      <c r="BI4" s="4">
        <f t="shared" si="3"/>
        <v>6.8</v>
      </c>
      <c r="BJ4" s="16">
        <f t="shared" si="4"/>
        <v>34000</v>
      </c>
      <c r="BK4" s="4">
        <f t="shared" si="5"/>
        <v>1</v>
      </c>
      <c r="BL4" s="4">
        <f t="shared" si="6"/>
        <v>0</v>
      </c>
      <c r="BM4" s="16">
        <f t="shared" si="7"/>
        <v>0</v>
      </c>
      <c r="BN4" s="4">
        <f t="shared" si="8"/>
        <v>0</v>
      </c>
      <c r="BO4" s="4">
        <f t="shared" si="9"/>
        <v>0</v>
      </c>
      <c r="BP4" s="16">
        <f t="shared" si="10"/>
        <v>0</v>
      </c>
      <c r="BQ4" s="4">
        <f t="shared" si="11"/>
        <v>0</v>
      </c>
      <c r="BR4" s="4">
        <f t="shared" si="12"/>
        <v>0</v>
      </c>
      <c r="BS4" s="16">
        <f t="shared" si="13"/>
        <v>0</v>
      </c>
      <c r="BT4" s="4">
        <f t="shared" si="14"/>
        <v>0</v>
      </c>
      <c r="BU4" s="4">
        <f t="shared" ref="BU4:BU67" si="15">BF4+BI4+BL4+BO4</f>
        <v>39.199999999999996</v>
      </c>
      <c r="BV4" s="16">
        <f t="shared" ref="BV4:BV67" si="16">BG4+BJ4+BM4+BP4+BS4</f>
        <v>115000</v>
      </c>
      <c r="BW4" s="4">
        <f t="shared" ref="BW4:BW67" si="17">BH4+BK4+BN4+BQ4+BT4</f>
        <v>3</v>
      </c>
    </row>
    <row r="5" spans="1:75" x14ac:dyDescent="0.25">
      <c r="A5" s="2" t="s">
        <v>119</v>
      </c>
      <c r="B5" s="4">
        <v>2020</v>
      </c>
      <c r="C5" s="4">
        <v>99.1</v>
      </c>
      <c r="D5" s="4" t="str">
        <f>TEXT(E5,"$#,##0.00")</f>
        <v>$198,200.00</v>
      </c>
      <c r="E5" s="16">
        <v>198200</v>
      </c>
      <c r="F5" s="4">
        <v>6</v>
      </c>
      <c r="G5" s="4">
        <v>20</v>
      </c>
      <c r="H5" s="4" t="str">
        <f>TEXT(I5,"$#,##0.00")</f>
        <v>$100,000.00</v>
      </c>
      <c r="I5" s="16">
        <v>100000</v>
      </c>
      <c r="J5" s="4">
        <v>1</v>
      </c>
      <c r="K5" s="4">
        <v>8</v>
      </c>
      <c r="L5" s="4" t="str">
        <f>TEXT(M5,"$#,##0.00")</f>
        <v>$12,000.00</v>
      </c>
      <c r="M5" s="16">
        <v>12000</v>
      </c>
      <c r="N5" s="4">
        <v>1</v>
      </c>
      <c r="O5" s="4">
        <v>909.8</v>
      </c>
      <c r="P5" s="4" t="str">
        <f>TEXT(Q5,"$#,##0.00")</f>
        <v>$1,364,700.00</v>
      </c>
      <c r="Q5" s="16">
        <v>1364700</v>
      </c>
      <c r="R5" s="4">
        <v>7</v>
      </c>
      <c r="S5" s="4">
        <v>1</v>
      </c>
      <c r="T5" s="16">
        <v>20000</v>
      </c>
      <c r="U5" s="4">
        <v>1</v>
      </c>
      <c r="V5" s="4" t="s">
        <v>13</v>
      </c>
      <c r="W5" s="4">
        <v>2021</v>
      </c>
      <c r="X5" s="4">
        <v>187.12</v>
      </c>
      <c r="Y5" s="16">
        <v>467800</v>
      </c>
      <c r="Z5" s="4">
        <v>10</v>
      </c>
      <c r="AA5" s="4">
        <v>15.5</v>
      </c>
      <c r="AB5" s="16">
        <v>92500</v>
      </c>
      <c r="AC5" s="4">
        <v>4</v>
      </c>
      <c r="AD5" s="4">
        <v>44</v>
      </c>
      <c r="AE5" s="16">
        <v>66000</v>
      </c>
      <c r="AF5" s="4">
        <v>5</v>
      </c>
      <c r="AG5" s="4">
        <v>637.9</v>
      </c>
      <c r="AH5" s="16">
        <v>956850</v>
      </c>
      <c r="AI5" s="4">
        <v>4</v>
      </c>
      <c r="AJ5" s="4">
        <v>1</v>
      </c>
      <c r="AK5" s="16">
        <v>75000</v>
      </c>
      <c r="AL5" s="28">
        <v>1</v>
      </c>
      <c r="AM5" s="4"/>
      <c r="AN5" s="2" t="s">
        <v>14</v>
      </c>
      <c r="AO5" s="4">
        <v>2022</v>
      </c>
      <c r="AP5" s="4">
        <v>7.4</v>
      </c>
      <c r="AQ5" s="16">
        <v>18500</v>
      </c>
      <c r="AR5" s="4">
        <v>1</v>
      </c>
      <c r="AS5" s="4"/>
      <c r="AT5" s="16"/>
      <c r="AU5" s="4">
        <v>0</v>
      </c>
      <c r="AV5" s="4">
        <v>0</v>
      </c>
      <c r="AW5" s="16">
        <v>0</v>
      </c>
      <c r="AX5" s="4">
        <v>0</v>
      </c>
      <c r="AY5" s="4">
        <v>0</v>
      </c>
      <c r="AZ5" s="16">
        <v>0</v>
      </c>
      <c r="BA5" s="4">
        <v>0</v>
      </c>
      <c r="BB5" s="4">
        <v>0</v>
      </c>
      <c r="BC5" s="16">
        <v>0</v>
      </c>
      <c r="BD5" s="4">
        <v>0</v>
      </c>
      <c r="BE5" s="4"/>
      <c r="BF5" s="4">
        <f t="shared" si="0"/>
        <v>575.12</v>
      </c>
      <c r="BG5" s="16">
        <f t="shared" si="1"/>
        <v>1382800</v>
      </c>
      <c r="BH5" s="4">
        <f t="shared" si="2"/>
        <v>25</v>
      </c>
      <c r="BI5" s="4">
        <f t="shared" si="3"/>
        <v>71.5</v>
      </c>
      <c r="BJ5" s="16">
        <f t="shared" si="4"/>
        <v>372500</v>
      </c>
      <c r="BK5" s="4">
        <f t="shared" si="5"/>
        <v>10</v>
      </c>
      <c r="BL5" s="4">
        <f t="shared" si="6"/>
        <v>136</v>
      </c>
      <c r="BM5" s="16">
        <f t="shared" si="7"/>
        <v>204000</v>
      </c>
      <c r="BN5" s="4">
        <f t="shared" si="8"/>
        <v>17</v>
      </c>
      <c r="BO5" s="4">
        <f t="shared" si="9"/>
        <v>2243.6999999999998</v>
      </c>
      <c r="BP5" s="16">
        <f t="shared" si="10"/>
        <v>3365550</v>
      </c>
      <c r="BQ5" s="4">
        <f t="shared" si="11"/>
        <v>14</v>
      </c>
      <c r="BR5" s="4">
        <f t="shared" si="12"/>
        <v>1</v>
      </c>
      <c r="BS5" s="16">
        <f t="shared" si="13"/>
        <v>75000</v>
      </c>
      <c r="BT5" s="4">
        <f t="shared" si="14"/>
        <v>1</v>
      </c>
      <c r="BU5" s="4">
        <f t="shared" si="15"/>
        <v>3026.3199999999997</v>
      </c>
      <c r="BV5" s="16">
        <f t="shared" si="16"/>
        <v>5399850</v>
      </c>
      <c r="BW5" s="4">
        <f t="shared" si="17"/>
        <v>67</v>
      </c>
    </row>
    <row r="6" spans="1:75" x14ac:dyDescent="0.25">
      <c r="A6" s="2" t="s">
        <v>14</v>
      </c>
      <c r="B6" s="4">
        <v>2020</v>
      </c>
      <c r="C6" s="4">
        <v>0</v>
      </c>
      <c r="D6" s="4" t="str">
        <f t="shared" ref="D6:D69" si="18">TEXT(E6,"$#,##0.00")</f>
        <v>$0.00</v>
      </c>
      <c r="E6" s="16">
        <v>0</v>
      </c>
      <c r="F6" s="4">
        <v>0</v>
      </c>
      <c r="G6" s="4">
        <v>0</v>
      </c>
      <c r="H6" s="4" t="str">
        <f t="shared" ref="H6:H69" si="19">TEXT(I6,"$#,##0.00")</f>
        <v>$0.00</v>
      </c>
      <c r="I6" s="16">
        <v>0</v>
      </c>
      <c r="J6" s="4">
        <v>0</v>
      </c>
      <c r="K6" s="4">
        <v>0</v>
      </c>
      <c r="L6" s="4" t="str">
        <f t="shared" ref="L6:L69" si="20">TEXT(M6,"$#,##0.00")</f>
        <v>$0.00</v>
      </c>
      <c r="M6" s="16">
        <v>0</v>
      </c>
      <c r="N6" s="4">
        <v>0</v>
      </c>
      <c r="O6" s="4">
        <v>0</v>
      </c>
      <c r="P6" s="4" t="str">
        <f t="shared" ref="P6:P69" si="21">TEXT(Q6,"$#,##0.00")</f>
        <v>$0.00</v>
      </c>
      <c r="Q6" s="16">
        <v>0</v>
      </c>
      <c r="R6" s="4">
        <v>0</v>
      </c>
      <c r="S6" s="4">
        <v>0</v>
      </c>
      <c r="T6" s="16">
        <v>0</v>
      </c>
      <c r="U6" s="4">
        <v>0</v>
      </c>
      <c r="V6" s="4" t="s">
        <v>15</v>
      </c>
      <c r="W6" s="4">
        <v>2021</v>
      </c>
      <c r="X6" s="4">
        <v>46.36</v>
      </c>
      <c r="Y6" s="16">
        <v>115900</v>
      </c>
      <c r="Z6" s="4">
        <v>6</v>
      </c>
      <c r="AA6" s="4">
        <v>0</v>
      </c>
      <c r="AB6" s="16">
        <v>0</v>
      </c>
      <c r="AC6" s="4">
        <v>0</v>
      </c>
      <c r="AD6" s="4">
        <v>32</v>
      </c>
      <c r="AE6" s="16">
        <v>48000</v>
      </c>
      <c r="AF6" s="4">
        <v>9</v>
      </c>
      <c r="AG6" s="4">
        <v>1878.8600000000001</v>
      </c>
      <c r="AH6" s="16">
        <v>2818290</v>
      </c>
      <c r="AI6" s="4">
        <v>8</v>
      </c>
      <c r="AJ6" s="4">
        <v>0</v>
      </c>
      <c r="AK6" s="16">
        <v>0</v>
      </c>
      <c r="AL6" s="28">
        <v>0</v>
      </c>
      <c r="AM6" s="4"/>
      <c r="AN6" s="2" t="s">
        <v>13</v>
      </c>
      <c r="AO6" s="4">
        <v>2022</v>
      </c>
      <c r="AP6" s="4">
        <v>157</v>
      </c>
      <c r="AQ6" s="16">
        <v>392500</v>
      </c>
      <c r="AR6" s="4">
        <v>9</v>
      </c>
      <c r="AS6" s="4">
        <v>11</v>
      </c>
      <c r="AT6" s="16">
        <v>55000</v>
      </c>
      <c r="AU6" s="4">
        <v>2</v>
      </c>
      <c r="AV6" s="4">
        <v>40</v>
      </c>
      <c r="AW6" s="16">
        <v>60000</v>
      </c>
      <c r="AX6" s="4">
        <v>7</v>
      </c>
      <c r="AY6" s="4">
        <v>999.9</v>
      </c>
      <c r="AZ6" s="16">
        <v>1499850</v>
      </c>
      <c r="BA6" s="4">
        <v>6</v>
      </c>
      <c r="BB6" s="4">
        <v>0</v>
      </c>
      <c r="BC6" s="16">
        <v>0</v>
      </c>
      <c r="BD6" s="4">
        <v>0</v>
      </c>
      <c r="BE6" s="4"/>
      <c r="BF6" s="4">
        <f t="shared" si="0"/>
        <v>113.36</v>
      </c>
      <c r="BG6" s="16">
        <f t="shared" si="1"/>
        <v>270400</v>
      </c>
      <c r="BH6" s="4">
        <f t="shared" si="2"/>
        <v>12</v>
      </c>
      <c r="BI6" s="4">
        <f t="shared" si="3"/>
        <v>1.1000000000000001</v>
      </c>
      <c r="BJ6" s="16">
        <f t="shared" si="4"/>
        <v>5500</v>
      </c>
      <c r="BK6" s="4">
        <f t="shared" si="5"/>
        <v>1</v>
      </c>
      <c r="BL6" s="4">
        <f t="shared" si="6"/>
        <v>83</v>
      </c>
      <c r="BM6" s="16">
        <f t="shared" si="7"/>
        <v>124500</v>
      </c>
      <c r="BN6" s="4">
        <f t="shared" si="8"/>
        <v>24</v>
      </c>
      <c r="BO6" s="4">
        <f t="shared" si="9"/>
        <v>4936.58</v>
      </c>
      <c r="BP6" s="16">
        <f t="shared" si="10"/>
        <v>7404870</v>
      </c>
      <c r="BQ6" s="4">
        <f t="shared" si="11"/>
        <v>22</v>
      </c>
      <c r="BR6" s="4">
        <f t="shared" si="12"/>
        <v>0</v>
      </c>
      <c r="BS6" s="16">
        <f t="shared" si="13"/>
        <v>0</v>
      </c>
      <c r="BT6" s="4">
        <f t="shared" si="14"/>
        <v>0</v>
      </c>
      <c r="BU6" s="4">
        <f t="shared" si="15"/>
        <v>5134.04</v>
      </c>
      <c r="BV6" s="16">
        <f t="shared" si="16"/>
        <v>7805270</v>
      </c>
      <c r="BW6" s="4">
        <f t="shared" si="17"/>
        <v>59</v>
      </c>
    </row>
    <row r="7" spans="1:75" x14ac:dyDescent="0.25">
      <c r="A7" s="2" t="s">
        <v>13</v>
      </c>
      <c r="B7" s="4">
        <v>2020</v>
      </c>
      <c r="C7" s="4">
        <v>231</v>
      </c>
      <c r="D7" s="4" t="str">
        <f t="shared" si="18"/>
        <v>$522,500.00</v>
      </c>
      <c r="E7" s="16">
        <v>522500</v>
      </c>
      <c r="F7" s="4">
        <v>6</v>
      </c>
      <c r="G7" s="4">
        <v>45</v>
      </c>
      <c r="H7" s="4" t="str">
        <f t="shared" si="19"/>
        <v>$225,000.00</v>
      </c>
      <c r="I7" s="16">
        <v>225000</v>
      </c>
      <c r="J7" s="4">
        <v>4</v>
      </c>
      <c r="K7" s="4">
        <v>52</v>
      </c>
      <c r="L7" s="4" t="str">
        <f t="shared" si="20"/>
        <v>$78,000.00</v>
      </c>
      <c r="M7" s="16">
        <v>78000</v>
      </c>
      <c r="N7" s="4">
        <v>5</v>
      </c>
      <c r="O7" s="4">
        <v>605.9</v>
      </c>
      <c r="P7" s="4" t="str">
        <f t="shared" si="21"/>
        <v>$908,850.00</v>
      </c>
      <c r="Q7" s="16">
        <v>908850</v>
      </c>
      <c r="R7" s="4">
        <v>4</v>
      </c>
      <c r="S7" s="4">
        <v>0</v>
      </c>
      <c r="T7" s="16">
        <v>0</v>
      </c>
      <c r="U7" s="4">
        <v>0</v>
      </c>
      <c r="V7" s="4" t="s">
        <v>120</v>
      </c>
      <c r="W7" s="4">
        <v>2021</v>
      </c>
      <c r="X7" s="4">
        <v>12.8</v>
      </c>
      <c r="Y7" s="16">
        <v>32000</v>
      </c>
      <c r="Z7" s="4">
        <v>2</v>
      </c>
      <c r="AA7" s="4">
        <v>47.5</v>
      </c>
      <c r="AB7" s="16">
        <v>237500</v>
      </c>
      <c r="AC7" s="4">
        <v>19</v>
      </c>
      <c r="AD7" s="4">
        <v>583</v>
      </c>
      <c r="AE7" s="16">
        <v>874500</v>
      </c>
      <c r="AF7" s="4">
        <v>114</v>
      </c>
      <c r="AG7" s="4">
        <v>667</v>
      </c>
      <c r="AH7" s="16">
        <v>1000500</v>
      </c>
      <c r="AI7" s="4">
        <v>4</v>
      </c>
      <c r="AJ7" s="4">
        <v>1</v>
      </c>
      <c r="AK7" s="16">
        <v>25000</v>
      </c>
      <c r="AL7" s="28">
        <v>1</v>
      </c>
      <c r="AM7" s="4"/>
      <c r="AN7" s="2" t="s">
        <v>15</v>
      </c>
      <c r="AO7" s="4">
        <v>2022</v>
      </c>
      <c r="AP7" s="4">
        <v>35</v>
      </c>
      <c r="AQ7" s="16">
        <v>87500</v>
      </c>
      <c r="AR7" s="4">
        <v>3</v>
      </c>
      <c r="AS7" s="4"/>
      <c r="AT7" s="16"/>
      <c r="AU7" s="4">
        <v>0</v>
      </c>
      <c r="AV7" s="4">
        <v>27</v>
      </c>
      <c r="AW7" s="16">
        <v>40500</v>
      </c>
      <c r="AX7" s="4">
        <v>7</v>
      </c>
      <c r="AY7" s="4">
        <v>1919.86</v>
      </c>
      <c r="AZ7" s="16">
        <v>2879790</v>
      </c>
      <c r="BA7" s="4">
        <v>9</v>
      </c>
      <c r="BB7" s="4">
        <v>0</v>
      </c>
      <c r="BC7" s="16">
        <v>0</v>
      </c>
      <c r="BD7" s="4">
        <v>0</v>
      </c>
      <c r="BE7" s="4"/>
      <c r="BF7" s="4">
        <f t="shared" si="0"/>
        <v>54.6</v>
      </c>
      <c r="BG7" s="16">
        <f t="shared" si="1"/>
        <v>140850</v>
      </c>
      <c r="BH7" s="4">
        <f t="shared" si="2"/>
        <v>10</v>
      </c>
      <c r="BI7" s="4">
        <f t="shared" si="3"/>
        <v>113.9</v>
      </c>
      <c r="BJ7" s="16">
        <f t="shared" si="4"/>
        <v>569500</v>
      </c>
      <c r="BK7" s="4">
        <f t="shared" si="5"/>
        <v>33</v>
      </c>
      <c r="BL7" s="4">
        <f t="shared" si="6"/>
        <v>1568</v>
      </c>
      <c r="BM7" s="16">
        <f t="shared" si="7"/>
        <v>2352000</v>
      </c>
      <c r="BN7" s="4">
        <f t="shared" si="8"/>
        <v>301</v>
      </c>
      <c r="BO7" s="4">
        <f t="shared" si="9"/>
        <v>2423</v>
      </c>
      <c r="BP7" s="16">
        <f t="shared" si="10"/>
        <v>3634500</v>
      </c>
      <c r="BQ7" s="4">
        <f t="shared" si="11"/>
        <v>12</v>
      </c>
      <c r="BR7" s="4">
        <f t="shared" si="12"/>
        <v>3</v>
      </c>
      <c r="BS7" s="16">
        <f t="shared" si="13"/>
        <v>210000</v>
      </c>
      <c r="BT7" s="4">
        <f t="shared" si="14"/>
        <v>3</v>
      </c>
      <c r="BU7" s="4">
        <f t="shared" si="15"/>
        <v>4159.5</v>
      </c>
      <c r="BV7" s="16">
        <f t="shared" si="16"/>
        <v>6906850</v>
      </c>
      <c r="BW7" s="4">
        <f t="shared" si="17"/>
        <v>359</v>
      </c>
    </row>
    <row r="8" spans="1:75" x14ac:dyDescent="0.25">
      <c r="A8" s="2" t="s">
        <v>15</v>
      </c>
      <c r="B8" s="4">
        <v>2020</v>
      </c>
      <c r="C8" s="4">
        <v>32</v>
      </c>
      <c r="D8" s="4" t="str">
        <f t="shared" si="18"/>
        <v>$67,000.00</v>
      </c>
      <c r="E8" s="16">
        <v>67000</v>
      </c>
      <c r="F8" s="4">
        <v>3</v>
      </c>
      <c r="G8" s="4">
        <v>1.1000000000000001</v>
      </c>
      <c r="H8" s="4" t="str">
        <f t="shared" si="19"/>
        <v>$5,500.00</v>
      </c>
      <c r="I8" s="16">
        <v>5500</v>
      </c>
      <c r="J8" s="4">
        <v>1</v>
      </c>
      <c r="K8" s="4">
        <v>24</v>
      </c>
      <c r="L8" s="4" t="str">
        <f t="shared" si="20"/>
        <v>$36,000.00</v>
      </c>
      <c r="M8" s="16">
        <v>36000</v>
      </c>
      <c r="N8" s="4">
        <v>8</v>
      </c>
      <c r="O8" s="4">
        <v>1137.8600000000001</v>
      </c>
      <c r="P8" s="4" t="str">
        <f t="shared" si="21"/>
        <v>$1,706,790.00</v>
      </c>
      <c r="Q8" s="16">
        <v>1706790.0000000002</v>
      </c>
      <c r="R8" s="4">
        <v>5</v>
      </c>
      <c r="S8" s="4">
        <v>0</v>
      </c>
      <c r="T8" s="16">
        <v>0</v>
      </c>
      <c r="U8" s="4">
        <v>0</v>
      </c>
      <c r="V8" s="4" t="s">
        <v>145</v>
      </c>
      <c r="W8" s="4">
        <v>2021</v>
      </c>
      <c r="X8" s="4">
        <v>0</v>
      </c>
      <c r="Y8" s="16">
        <v>0</v>
      </c>
      <c r="Z8" s="4">
        <v>0</v>
      </c>
      <c r="AA8" s="4">
        <v>0</v>
      </c>
      <c r="AB8" s="16">
        <v>0</v>
      </c>
      <c r="AC8" s="4">
        <v>0</v>
      </c>
      <c r="AD8" s="4">
        <v>0</v>
      </c>
      <c r="AE8" s="16">
        <v>0</v>
      </c>
      <c r="AF8" s="4">
        <v>0</v>
      </c>
      <c r="AG8" s="4">
        <v>0</v>
      </c>
      <c r="AH8" s="16">
        <v>0</v>
      </c>
      <c r="AI8" s="4">
        <v>0</v>
      </c>
      <c r="AJ8" s="4">
        <v>0</v>
      </c>
      <c r="AK8" s="16">
        <v>0</v>
      </c>
      <c r="AL8" s="28">
        <v>0</v>
      </c>
      <c r="AM8" s="4"/>
      <c r="AN8" s="2" t="s">
        <v>120</v>
      </c>
      <c r="AO8" s="4">
        <v>2022</v>
      </c>
      <c r="AP8" s="4">
        <v>23.5</v>
      </c>
      <c r="AQ8" s="16">
        <v>58750</v>
      </c>
      <c r="AR8" s="4">
        <v>3</v>
      </c>
      <c r="AS8" s="4">
        <v>15.7</v>
      </c>
      <c r="AT8" s="16">
        <v>78500</v>
      </c>
      <c r="AU8" s="4">
        <v>6</v>
      </c>
      <c r="AV8" s="4">
        <v>529</v>
      </c>
      <c r="AW8" s="16">
        <v>793500</v>
      </c>
      <c r="AX8" s="4">
        <v>73</v>
      </c>
      <c r="AY8" s="4">
        <v>1111</v>
      </c>
      <c r="AZ8" s="16">
        <v>1666500</v>
      </c>
      <c r="BA8" s="4">
        <v>5</v>
      </c>
      <c r="BB8" s="4">
        <v>0</v>
      </c>
      <c r="BC8" s="16">
        <v>0</v>
      </c>
      <c r="BD8" s="4">
        <v>0</v>
      </c>
      <c r="BE8" s="4"/>
      <c r="BF8" s="4">
        <f t="shared" si="0"/>
        <v>0</v>
      </c>
      <c r="BG8" s="16">
        <f t="shared" si="1"/>
        <v>0</v>
      </c>
      <c r="BH8" s="4">
        <f t="shared" si="2"/>
        <v>0</v>
      </c>
      <c r="BI8" s="4">
        <f t="shared" si="3"/>
        <v>0</v>
      </c>
      <c r="BJ8" s="16">
        <f t="shared" si="4"/>
        <v>0</v>
      </c>
      <c r="BK8" s="4">
        <f t="shared" si="5"/>
        <v>0</v>
      </c>
      <c r="BL8" s="4">
        <f t="shared" si="6"/>
        <v>0</v>
      </c>
      <c r="BM8" s="16">
        <f t="shared" si="7"/>
        <v>0</v>
      </c>
      <c r="BN8" s="4">
        <f t="shared" si="8"/>
        <v>0</v>
      </c>
      <c r="BO8" s="4">
        <f t="shared" si="9"/>
        <v>0</v>
      </c>
      <c r="BP8" s="16">
        <f t="shared" si="10"/>
        <v>0</v>
      </c>
      <c r="BQ8" s="4">
        <f t="shared" si="11"/>
        <v>0</v>
      </c>
      <c r="BR8" s="4">
        <f t="shared" si="12"/>
        <v>0</v>
      </c>
      <c r="BS8" s="16">
        <f t="shared" si="13"/>
        <v>0</v>
      </c>
      <c r="BT8" s="4">
        <f t="shared" si="14"/>
        <v>0</v>
      </c>
      <c r="BU8" s="4">
        <f t="shared" si="15"/>
        <v>0</v>
      </c>
      <c r="BV8" s="16">
        <f t="shared" si="16"/>
        <v>0</v>
      </c>
      <c r="BW8" s="4">
        <f t="shared" si="17"/>
        <v>0</v>
      </c>
    </row>
    <row r="9" spans="1:75" x14ac:dyDescent="0.25">
      <c r="A9" s="2" t="s">
        <v>120</v>
      </c>
      <c r="B9" s="4">
        <v>2020</v>
      </c>
      <c r="C9" s="4">
        <v>18.3</v>
      </c>
      <c r="D9" s="4" t="str">
        <f t="shared" si="18"/>
        <v>$50,100.00</v>
      </c>
      <c r="E9" s="16">
        <v>50100</v>
      </c>
      <c r="F9" s="4">
        <v>5</v>
      </c>
      <c r="G9" s="4">
        <v>50.7</v>
      </c>
      <c r="H9" s="4" t="str">
        <f t="shared" si="19"/>
        <v>$253,500.00</v>
      </c>
      <c r="I9" s="16">
        <v>253500</v>
      </c>
      <c r="J9" s="4">
        <v>8</v>
      </c>
      <c r="K9" s="4">
        <v>456</v>
      </c>
      <c r="L9" s="4" t="str">
        <f t="shared" si="20"/>
        <v>$684,000.00</v>
      </c>
      <c r="M9" s="16">
        <v>684000</v>
      </c>
      <c r="N9" s="4">
        <v>114</v>
      </c>
      <c r="O9" s="4">
        <v>645</v>
      </c>
      <c r="P9" s="4" t="str">
        <f t="shared" si="21"/>
        <v>$967,500.00</v>
      </c>
      <c r="Q9" s="16">
        <v>967500</v>
      </c>
      <c r="R9" s="4">
        <v>3</v>
      </c>
      <c r="S9" s="4">
        <v>2</v>
      </c>
      <c r="T9" s="16">
        <v>185000</v>
      </c>
      <c r="U9" s="4">
        <v>2</v>
      </c>
      <c r="V9" s="4" t="s">
        <v>16</v>
      </c>
      <c r="W9" s="4">
        <v>2021</v>
      </c>
      <c r="X9" s="4">
        <v>63.5</v>
      </c>
      <c r="Y9" s="16">
        <v>158750</v>
      </c>
      <c r="Z9" s="4">
        <v>5</v>
      </c>
      <c r="AA9" s="4">
        <v>8.35</v>
      </c>
      <c r="AB9" s="16">
        <v>41750</v>
      </c>
      <c r="AC9" s="4">
        <v>3</v>
      </c>
      <c r="AD9" s="4">
        <v>317</v>
      </c>
      <c r="AE9" s="16">
        <v>475500</v>
      </c>
      <c r="AF9" s="4">
        <v>40</v>
      </c>
      <c r="AG9" s="4">
        <v>2071.2600000000002</v>
      </c>
      <c r="AH9" s="16">
        <v>3106890.0000000005</v>
      </c>
      <c r="AI9" s="4">
        <v>12</v>
      </c>
      <c r="AJ9" s="4">
        <v>9</v>
      </c>
      <c r="AK9" s="16">
        <v>655000</v>
      </c>
      <c r="AL9" s="28">
        <v>9</v>
      </c>
      <c r="AM9" s="4"/>
      <c r="AN9" s="2" t="s">
        <v>145</v>
      </c>
      <c r="AO9" s="4">
        <v>2022</v>
      </c>
      <c r="AP9" s="4">
        <v>0</v>
      </c>
      <c r="AQ9" s="16">
        <v>0</v>
      </c>
      <c r="AR9" s="4">
        <v>0</v>
      </c>
      <c r="AS9" s="4"/>
      <c r="AT9" s="16"/>
      <c r="AU9" s="4">
        <v>0</v>
      </c>
      <c r="AV9" s="4">
        <v>0</v>
      </c>
      <c r="AW9" s="16">
        <v>0</v>
      </c>
      <c r="AX9" s="4">
        <v>0</v>
      </c>
      <c r="AY9" s="4">
        <v>0</v>
      </c>
      <c r="AZ9" s="16">
        <v>0</v>
      </c>
      <c r="BA9" s="4">
        <v>0</v>
      </c>
      <c r="BB9" s="4">
        <v>0</v>
      </c>
      <c r="BC9" s="16">
        <v>0</v>
      </c>
      <c r="BD9" s="4">
        <v>0</v>
      </c>
      <c r="BE9" s="4"/>
      <c r="BF9" s="4">
        <f t="shared" si="0"/>
        <v>183.76</v>
      </c>
      <c r="BG9" s="16">
        <f t="shared" si="1"/>
        <v>492725</v>
      </c>
      <c r="BH9" s="4">
        <f t="shared" si="2"/>
        <v>26</v>
      </c>
      <c r="BI9" s="4">
        <f t="shared" si="3"/>
        <v>20.549999999999997</v>
      </c>
      <c r="BJ9" s="16">
        <f t="shared" si="4"/>
        <v>102750</v>
      </c>
      <c r="BK9" s="4">
        <f t="shared" si="5"/>
        <v>8</v>
      </c>
      <c r="BL9" s="4">
        <f t="shared" si="6"/>
        <v>934</v>
      </c>
      <c r="BM9" s="16">
        <f t="shared" si="7"/>
        <v>1401000</v>
      </c>
      <c r="BN9" s="4">
        <f t="shared" si="8"/>
        <v>119</v>
      </c>
      <c r="BO9" s="4">
        <f t="shared" si="9"/>
        <v>5654.68</v>
      </c>
      <c r="BP9" s="16">
        <f t="shared" si="10"/>
        <v>8482020</v>
      </c>
      <c r="BQ9" s="4">
        <f t="shared" si="11"/>
        <v>33</v>
      </c>
      <c r="BR9" s="4">
        <f t="shared" si="12"/>
        <v>10</v>
      </c>
      <c r="BS9" s="16">
        <f t="shared" si="13"/>
        <v>830000</v>
      </c>
      <c r="BT9" s="4">
        <f t="shared" si="14"/>
        <v>10</v>
      </c>
      <c r="BU9" s="4">
        <f t="shared" si="15"/>
        <v>6792.99</v>
      </c>
      <c r="BV9" s="16">
        <f t="shared" si="16"/>
        <v>11308495</v>
      </c>
      <c r="BW9" s="4">
        <f t="shared" si="17"/>
        <v>196</v>
      </c>
    </row>
    <row r="10" spans="1:75" x14ac:dyDescent="0.25">
      <c r="A10" s="2" t="s">
        <v>145</v>
      </c>
      <c r="B10" s="4">
        <v>2020</v>
      </c>
      <c r="C10" s="4">
        <v>0</v>
      </c>
      <c r="D10" s="4" t="str">
        <f t="shared" si="18"/>
        <v>$0.00</v>
      </c>
      <c r="E10" s="16">
        <v>0</v>
      </c>
      <c r="F10" s="4">
        <v>0</v>
      </c>
      <c r="G10" s="4">
        <v>0</v>
      </c>
      <c r="H10" s="4" t="str">
        <f t="shared" si="19"/>
        <v>$0.00</v>
      </c>
      <c r="I10" s="16">
        <v>0</v>
      </c>
      <c r="J10" s="4">
        <v>0</v>
      </c>
      <c r="K10" s="4">
        <v>0</v>
      </c>
      <c r="L10" s="4" t="str">
        <f t="shared" si="20"/>
        <v>$0.00</v>
      </c>
      <c r="M10" s="16">
        <v>0</v>
      </c>
      <c r="N10" s="4">
        <v>0</v>
      </c>
      <c r="O10" s="4">
        <v>0</v>
      </c>
      <c r="P10" s="4" t="str">
        <f t="shared" si="21"/>
        <v>$0.00</v>
      </c>
      <c r="Q10" s="16">
        <v>0</v>
      </c>
      <c r="R10" s="4">
        <v>0</v>
      </c>
      <c r="S10" s="4">
        <v>0</v>
      </c>
      <c r="T10" s="16">
        <v>0</v>
      </c>
      <c r="U10" s="4">
        <v>0</v>
      </c>
      <c r="V10" s="4" t="s">
        <v>17</v>
      </c>
      <c r="W10" s="4">
        <v>2021</v>
      </c>
      <c r="X10" s="4">
        <v>24.66</v>
      </c>
      <c r="Y10" s="16">
        <v>61650</v>
      </c>
      <c r="Z10" s="4">
        <v>2</v>
      </c>
      <c r="AA10" s="4">
        <v>47.57</v>
      </c>
      <c r="AB10" s="16">
        <v>850600</v>
      </c>
      <c r="AC10" s="4">
        <v>29</v>
      </c>
      <c r="AD10" s="4">
        <v>24</v>
      </c>
      <c r="AE10" s="16">
        <v>36000</v>
      </c>
      <c r="AF10" s="4">
        <v>3</v>
      </c>
      <c r="AG10" s="4">
        <v>2505.71</v>
      </c>
      <c r="AH10" s="16">
        <v>3758565</v>
      </c>
      <c r="AI10" s="4">
        <v>50</v>
      </c>
      <c r="AJ10" s="4">
        <v>0</v>
      </c>
      <c r="AK10" s="16">
        <v>0</v>
      </c>
      <c r="AL10" s="28">
        <v>0</v>
      </c>
      <c r="AM10" s="4"/>
      <c r="AN10" s="2" t="s">
        <v>16</v>
      </c>
      <c r="AO10" s="4">
        <v>2022</v>
      </c>
      <c r="AP10" s="4">
        <v>62.41</v>
      </c>
      <c r="AQ10" s="16">
        <v>156025</v>
      </c>
      <c r="AR10" s="4">
        <v>11</v>
      </c>
      <c r="AS10" s="4">
        <v>6.1</v>
      </c>
      <c r="AT10" s="16">
        <v>30500</v>
      </c>
      <c r="AU10" s="4">
        <v>3</v>
      </c>
      <c r="AV10" s="4">
        <v>337</v>
      </c>
      <c r="AW10" s="16">
        <v>505500</v>
      </c>
      <c r="AX10" s="4">
        <v>47</v>
      </c>
      <c r="AY10" s="4">
        <v>1922.26</v>
      </c>
      <c r="AZ10" s="16">
        <v>2883390</v>
      </c>
      <c r="BA10" s="4">
        <v>13</v>
      </c>
      <c r="BB10" s="4">
        <v>1</v>
      </c>
      <c r="BC10" s="16">
        <v>175000</v>
      </c>
      <c r="BD10" s="4">
        <v>1</v>
      </c>
      <c r="BE10" s="4"/>
      <c r="BF10" s="4">
        <f t="shared" si="0"/>
        <v>74.66</v>
      </c>
      <c r="BG10" s="16">
        <f t="shared" si="1"/>
        <v>161650</v>
      </c>
      <c r="BH10" s="4">
        <f t="shared" si="2"/>
        <v>4</v>
      </c>
      <c r="BI10" s="4">
        <f t="shared" si="3"/>
        <v>66.240000000000009</v>
      </c>
      <c r="BJ10" s="16">
        <f t="shared" si="4"/>
        <v>996450</v>
      </c>
      <c r="BK10" s="4">
        <f t="shared" si="5"/>
        <v>36</v>
      </c>
      <c r="BL10" s="4">
        <f t="shared" si="6"/>
        <v>90</v>
      </c>
      <c r="BM10" s="16">
        <f t="shared" si="7"/>
        <v>135000</v>
      </c>
      <c r="BN10" s="4">
        <f t="shared" si="8"/>
        <v>10</v>
      </c>
      <c r="BO10" s="4">
        <f t="shared" si="9"/>
        <v>6973.16</v>
      </c>
      <c r="BP10" s="16">
        <f t="shared" si="10"/>
        <v>10459740</v>
      </c>
      <c r="BQ10" s="4">
        <f t="shared" si="11"/>
        <v>128</v>
      </c>
      <c r="BR10" s="4">
        <f t="shared" si="12"/>
        <v>0</v>
      </c>
      <c r="BS10" s="16">
        <f t="shared" si="13"/>
        <v>0</v>
      </c>
      <c r="BT10" s="4">
        <f t="shared" si="14"/>
        <v>0</v>
      </c>
      <c r="BU10" s="4">
        <f t="shared" si="15"/>
        <v>7204.0599999999995</v>
      </c>
      <c r="BV10" s="16">
        <f t="shared" si="16"/>
        <v>11752840</v>
      </c>
      <c r="BW10" s="4">
        <f t="shared" si="17"/>
        <v>178</v>
      </c>
    </row>
    <row r="11" spans="1:75" x14ac:dyDescent="0.25">
      <c r="A11" s="2" t="s">
        <v>16</v>
      </c>
      <c r="B11" s="4">
        <v>2020</v>
      </c>
      <c r="C11" s="4">
        <v>57.85</v>
      </c>
      <c r="D11" s="4" t="str">
        <f t="shared" si="18"/>
        <v>$177,950.00</v>
      </c>
      <c r="E11" s="16">
        <v>177950</v>
      </c>
      <c r="F11" s="4">
        <v>10</v>
      </c>
      <c r="G11" s="4">
        <v>6.1</v>
      </c>
      <c r="H11" s="4" t="str">
        <f t="shared" si="19"/>
        <v>$30,500.00</v>
      </c>
      <c r="I11" s="16">
        <v>30500</v>
      </c>
      <c r="J11" s="4">
        <v>2</v>
      </c>
      <c r="K11" s="4">
        <v>280</v>
      </c>
      <c r="L11" s="4" t="str">
        <f t="shared" si="20"/>
        <v>$420,000.00</v>
      </c>
      <c r="M11" s="16">
        <v>420000</v>
      </c>
      <c r="N11" s="4">
        <v>32</v>
      </c>
      <c r="O11" s="4">
        <v>1661.16</v>
      </c>
      <c r="P11" s="4" t="str">
        <f t="shared" si="21"/>
        <v>$2,491,740.00</v>
      </c>
      <c r="Q11" s="16">
        <v>2491740</v>
      </c>
      <c r="R11" s="4">
        <v>8</v>
      </c>
      <c r="S11" s="4">
        <v>0</v>
      </c>
      <c r="T11" s="16">
        <v>0</v>
      </c>
      <c r="U11" s="4">
        <v>0</v>
      </c>
      <c r="V11" s="4" t="s">
        <v>18</v>
      </c>
      <c r="W11" s="4">
        <v>2021</v>
      </c>
      <c r="X11" s="4">
        <v>16</v>
      </c>
      <c r="Y11" s="16">
        <v>40000</v>
      </c>
      <c r="Z11" s="4">
        <v>3</v>
      </c>
      <c r="AA11" s="4">
        <v>5</v>
      </c>
      <c r="AB11" s="16">
        <v>64000</v>
      </c>
      <c r="AC11" s="4">
        <v>4</v>
      </c>
      <c r="AD11" s="4">
        <v>159</v>
      </c>
      <c r="AE11" s="16">
        <v>238500</v>
      </c>
      <c r="AF11" s="4">
        <v>2</v>
      </c>
      <c r="AG11" s="4">
        <v>1351</v>
      </c>
      <c r="AH11" s="16">
        <v>2026500</v>
      </c>
      <c r="AI11" s="4">
        <v>5</v>
      </c>
      <c r="AJ11" s="4">
        <v>1</v>
      </c>
      <c r="AK11" s="16">
        <v>30000</v>
      </c>
      <c r="AL11" s="28">
        <v>1</v>
      </c>
      <c r="AM11" s="4"/>
      <c r="AN11" s="2" t="s">
        <v>17</v>
      </c>
      <c r="AO11" s="4">
        <v>2022</v>
      </c>
      <c r="AP11" s="4">
        <v>0</v>
      </c>
      <c r="AQ11" s="16">
        <v>0</v>
      </c>
      <c r="AR11" s="4">
        <v>0</v>
      </c>
      <c r="AS11" s="4">
        <v>3.5</v>
      </c>
      <c r="AT11" s="16">
        <v>70000</v>
      </c>
      <c r="AU11" s="4">
        <v>3</v>
      </c>
      <c r="AV11" s="4">
        <v>42</v>
      </c>
      <c r="AW11" s="16">
        <v>63000</v>
      </c>
      <c r="AX11" s="4">
        <v>4</v>
      </c>
      <c r="AY11" s="4">
        <v>2514.65</v>
      </c>
      <c r="AZ11" s="16">
        <v>3771975</v>
      </c>
      <c r="BA11" s="4">
        <v>38</v>
      </c>
      <c r="BB11" s="4">
        <v>0</v>
      </c>
      <c r="BC11" s="16">
        <v>0</v>
      </c>
      <c r="BD11" s="4">
        <v>0</v>
      </c>
      <c r="BE11" s="4"/>
      <c r="BF11" s="4">
        <f t="shared" si="0"/>
        <v>137.5</v>
      </c>
      <c r="BG11" s="16">
        <f t="shared" si="1"/>
        <v>318750</v>
      </c>
      <c r="BH11" s="4">
        <f t="shared" si="2"/>
        <v>7</v>
      </c>
      <c r="BI11" s="4">
        <f t="shared" si="3"/>
        <v>10</v>
      </c>
      <c r="BJ11" s="16">
        <f t="shared" si="4"/>
        <v>89000</v>
      </c>
      <c r="BK11" s="4">
        <f t="shared" si="5"/>
        <v>6</v>
      </c>
      <c r="BL11" s="4">
        <f t="shared" si="6"/>
        <v>327</v>
      </c>
      <c r="BM11" s="16">
        <f t="shared" si="7"/>
        <v>490500</v>
      </c>
      <c r="BN11" s="4">
        <f t="shared" si="8"/>
        <v>5</v>
      </c>
      <c r="BO11" s="4">
        <f t="shared" si="9"/>
        <v>3108</v>
      </c>
      <c r="BP11" s="16">
        <f t="shared" si="10"/>
        <v>4662000</v>
      </c>
      <c r="BQ11" s="4">
        <f t="shared" si="11"/>
        <v>13</v>
      </c>
      <c r="BR11" s="4">
        <f t="shared" si="12"/>
        <v>6</v>
      </c>
      <c r="BS11" s="16">
        <f t="shared" si="13"/>
        <v>386428.56</v>
      </c>
      <c r="BT11" s="4">
        <f t="shared" si="14"/>
        <v>6</v>
      </c>
      <c r="BU11" s="4">
        <f t="shared" si="15"/>
        <v>3582.5</v>
      </c>
      <c r="BV11" s="16">
        <f t="shared" si="16"/>
        <v>5946678.5599999996</v>
      </c>
      <c r="BW11" s="4">
        <f t="shared" si="17"/>
        <v>37</v>
      </c>
    </row>
    <row r="12" spans="1:75" x14ac:dyDescent="0.25">
      <c r="A12" s="2" t="s">
        <v>17</v>
      </c>
      <c r="B12" s="4">
        <v>2020</v>
      </c>
      <c r="C12" s="4">
        <v>50</v>
      </c>
      <c r="D12" s="4" t="str">
        <f t="shared" si="18"/>
        <v>$100,000.00</v>
      </c>
      <c r="E12" s="16">
        <v>100000</v>
      </c>
      <c r="F12" s="4">
        <v>2</v>
      </c>
      <c r="G12" s="4">
        <v>15.17</v>
      </c>
      <c r="H12" s="4" t="str">
        <f t="shared" si="19"/>
        <v>$75,850.00</v>
      </c>
      <c r="I12" s="16">
        <v>75850</v>
      </c>
      <c r="J12" s="4">
        <v>4</v>
      </c>
      <c r="K12" s="4">
        <v>24</v>
      </c>
      <c r="L12" s="4" t="str">
        <f t="shared" si="20"/>
        <v>$36,000.00</v>
      </c>
      <c r="M12" s="16">
        <v>36000</v>
      </c>
      <c r="N12" s="4">
        <v>3</v>
      </c>
      <c r="O12" s="4">
        <v>1952.8</v>
      </c>
      <c r="P12" s="4" t="str">
        <f t="shared" si="21"/>
        <v>$2,929,200.00</v>
      </c>
      <c r="Q12" s="16">
        <v>2929200</v>
      </c>
      <c r="R12" s="4">
        <v>40</v>
      </c>
      <c r="S12" s="4">
        <v>0</v>
      </c>
      <c r="T12" s="16">
        <v>0</v>
      </c>
      <c r="U12" s="4">
        <v>0</v>
      </c>
      <c r="V12" s="4" t="s">
        <v>19</v>
      </c>
      <c r="W12" s="4">
        <v>2021</v>
      </c>
      <c r="X12" s="4">
        <v>72</v>
      </c>
      <c r="Y12" s="16">
        <v>180000</v>
      </c>
      <c r="Z12" s="4">
        <v>1</v>
      </c>
      <c r="AA12" s="4">
        <v>0</v>
      </c>
      <c r="AB12" s="16">
        <v>0</v>
      </c>
      <c r="AC12" s="4">
        <v>0</v>
      </c>
      <c r="AD12" s="4">
        <v>0</v>
      </c>
      <c r="AE12" s="16">
        <v>0</v>
      </c>
      <c r="AF12" s="4">
        <v>0</v>
      </c>
      <c r="AG12" s="4">
        <v>213.33</v>
      </c>
      <c r="AH12" s="16">
        <v>319995</v>
      </c>
      <c r="AI12" s="4">
        <v>1</v>
      </c>
      <c r="AJ12" s="4">
        <v>0</v>
      </c>
      <c r="AK12" s="16">
        <v>0</v>
      </c>
      <c r="AL12" s="28">
        <v>0</v>
      </c>
      <c r="AM12" s="4"/>
      <c r="AN12" s="2" t="s">
        <v>18</v>
      </c>
      <c r="AO12" s="4">
        <v>2022</v>
      </c>
      <c r="AP12" s="4">
        <v>71.5</v>
      </c>
      <c r="AQ12" s="16">
        <v>178750</v>
      </c>
      <c r="AR12" s="4">
        <v>3</v>
      </c>
      <c r="AS12" s="4">
        <v>4</v>
      </c>
      <c r="AT12" s="16">
        <v>20000</v>
      </c>
      <c r="AU12" s="4">
        <v>1</v>
      </c>
      <c r="AV12" s="4">
        <v>9</v>
      </c>
      <c r="AW12" s="16">
        <v>13500</v>
      </c>
      <c r="AX12" s="4">
        <v>1</v>
      </c>
      <c r="AY12" s="4">
        <v>1004</v>
      </c>
      <c r="AZ12" s="16">
        <v>1506000</v>
      </c>
      <c r="BA12" s="4">
        <v>5</v>
      </c>
      <c r="BB12" s="4">
        <v>2</v>
      </c>
      <c r="BC12" s="16">
        <v>125000</v>
      </c>
      <c r="BD12" s="4">
        <v>2</v>
      </c>
      <c r="BE12" s="4"/>
      <c r="BF12" s="4">
        <f t="shared" si="0"/>
        <v>107</v>
      </c>
      <c r="BG12" s="16">
        <f t="shared" si="1"/>
        <v>250000</v>
      </c>
      <c r="BH12" s="4">
        <f t="shared" si="2"/>
        <v>2</v>
      </c>
      <c r="BI12" s="4">
        <f t="shared" si="3"/>
        <v>35</v>
      </c>
      <c r="BJ12" s="16">
        <f t="shared" si="4"/>
        <v>175000</v>
      </c>
      <c r="BK12" s="4">
        <f t="shared" si="5"/>
        <v>1</v>
      </c>
      <c r="BL12" s="4">
        <f t="shared" si="6"/>
        <v>16</v>
      </c>
      <c r="BM12" s="16">
        <f t="shared" si="7"/>
        <v>24000</v>
      </c>
      <c r="BN12" s="4">
        <f t="shared" si="8"/>
        <v>1</v>
      </c>
      <c r="BO12" s="4">
        <f t="shared" si="9"/>
        <v>639.99</v>
      </c>
      <c r="BP12" s="16">
        <f t="shared" si="10"/>
        <v>959985</v>
      </c>
      <c r="BQ12" s="4">
        <f t="shared" si="11"/>
        <v>3</v>
      </c>
      <c r="BR12" s="4">
        <f t="shared" si="12"/>
        <v>0</v>
      </c>
      <c r="BS12" s="16">
        <f t="shared" si="13"/>
        <v>0</v>
      </c>
      <c r="BT12" s="4">
        <f t="shared" si="14"/>
        <v>0</v>
      </c>
      <c r="BU12" s="4">
        <f t="shared" si="15"/>
        <v>797.99</v>
      </c>
      <c r="BV12" s="16">
        <f t="shared" si="16"/>
        <v>1408985</v>
      </c>
      <c r="BW12" s="4">
        <f t="shared" si="17"/>
        <v>7</v>
      </c>
    </row>
    <row r="13" spans="1:75" x14ac:dyDescent="0.25">
      <c r="A13" s="2" t="s">
        <v>18</v>
      </c>
      <c r="B13" s="4">
        <v>2020</v>
      </c>
      <c r="C13" s="4">
        <v>50</v>
      </c>
      <c r="D13" s="4" t="str">
        <f t="shared" si="18"/>
        <v>$100,000.00</v>
      </c>
      <c r="E13" s="16">
        <v>100000</v>
      </c>
      <c r="F13" s="4">
        <v>1</v>
      </c>
      <c r="G13" s="4">
        <v>1</v>
      </c>
      <c r="H13" s="4" t="str">
        <f t="shared" si="19"/>
        <v>$5,000.00</v>
      </c>
      <c r="I13" s="16">
        <v>5000</v>
      </c>
      <c r="J13" s="4">
        <v>1</v>
      </c>
      <c r="K13" s="4">
        <v>159</v>
      </c>
      <c r="L13" s="4" t="str">
        <f t="shared" si="20"/>
        <v>$238,500.00</v>
      </c>
      <c r="M13" s="16">
        <v>238500</v>
      </c>
      <c r="N13" s="4">
        <v>2</v>
      </c>
      <c r="O13" s="4">
        <v>753</v>
      </c>
      <c r="P13" s="4" t="str">
        <f t="shared" si="21"/>
        <v>$1,129,500.00</v>
      </c>
      <c r="Q13" s="16">
        <v>1129500</v>
      </c>
      <c r="R13" s="4">
        <v>3</v>
      </c>
      <c r="S13" s="4">
        <v>3</v>
      </c>
      <c r="T13" s="16">
        <v>231428.56</v>
      </c>
      <c r="U13" s="4">
        <v>3</v>
      </c>
      <c r="V13" s="4" t="s">
        <v>20</v>
      </c>
      <c r="W13" s="4">
        <v>2021</v>
      </c>
      <c r="X13" s="4">
        <v>0</v>
      </c>
      <c r="Y13" s="16">
        <v>0</v>
      </c>
      <c r="Z13" s="4">
        <v>0</v>
      </c>
      <c r="AA13" s="4">
        <v>0</v>
      </c>
      <c r="AB13" s="16">
        <v>0</v>
      </c>
      <c r="AC13" s="4">
        <v>0</v>
      </c>
      <c r="AD13" s="4">
        <v>0</v>
      </c>
      <c r="AE13" s="16">
        <v>0</v>
      </c>
      <c r="AF13" s="4">
        <v>0</v>
      </c>
      <c r="AG13" s="4">
        <v>0</v>
      </c>
      <c r="AH13" s="16">
        <v>0</v>
      </c>
      <c r="AI13" s="4">
        <v>0</v>
      </c>
      <c r="AJ13" s="4">
        <v>0</v>
      </c>
      <c r="AK13" s="16">
        <v>0</v>
      </c>
      <c r="AL13" s="28">
        <v>0</v>
      </c>
      <c r="AM13" s="4"/>
      <c r="AN13" s="2" t="s">
        <v>19</v>
      </c>
      <c r="AO13" s="4">
        <v>2022</v>
      </c>
      <c r="AP13" s="4">
        <v>0</v>
      </c>
      <c r="AQ13" s="16">
        <v>0</v>
      </c>
      <c r="AR13" s="4">
        <v>0</v>
      </c>
      <c r="AS13" s="4"/>
      <c r="AT13" s="16"/>
      <c r="AU13" s="4">
        <v>0</v>
      </c>
      <c r="AV13" s="4">
        <v>0</v>
      </c>
      <c r="AW13" s="16">
        <v>0</v>
      </c>
      <c r="AX13" s="4">
        <v>0</v>
      </c>
      <c r="AY13" s="4">
        <v>213.33</v>
      </c>
      <c r="AZ13" s="16">
        <v>319995</v>
      </c>
      <c r="BA13" s="4">
        <v>1</v>
      </c>
      <c r="BB13" s="4">
        <v>0</v>
      </c>
      <c r="BC13" s="16">
        <v>0</v>
      </c>
      <c r="BD13" s="4">
        <v>0</v>
      </c>
      <c r="BE13" s="4"/>
      <c r="BF13" s="4">
        <f t="shared" si="0"/>
        <v>0</v>
      </c>
      <c r="BG13" s="16">
        <f t="shared" si="1"/>
        <v>0</v>
      </c>
      <c r="BH13" s="4">
        <f t="shared" si="2"/>
        <v>0</v>
      </c>
      <c r="BI13" s="4">
        <f t="shared" si="3"/>
        <v>0</v>
      </c>
      <c r="BJ13" s="16">
        <f t="shared" si="4"/>
        <v>0</v>
      </c>
      <c r="BK13" s="4">
        <f t="shared" si="5"/>
        <v>0</v>
      </c>
      <c r="BL13" s="4">
        <f t="shared" si="6"/>
        <v>0</v>
      </c>
      <c r="BM13" s="16">
        <f t="shared" si="7"/>
        <v>0</v>
      </c>
      <c r="BN13" s="4">
        <f t="shared" si="8"/>
        <v>0</v>
      </c>
      <c r="BO13" s="4">
        <f t="shared" si="9"/>
        <v>0</v>
      </c>
      <c r="BP13" s="16">
        <f t="shared" si="10"/>
        <v>0</v>
      </c>
      <c r="BQ13" s="4">
        <f t="shared" si="11"/>
        <v>0</v>
      </c>
      <c r="BR13" s="4">
        <f t="shared" si="12"/>
        <v>0</v>
      </c>
      <c r="BS13" s="16">
        <f t="shared" si="13"/>
        <v>0</v>
      </c>
      <c r="BT13" s="4">
        <f t="shared" si="14"/>
        <v>0</v>
      </c>
      <c r="BU13" s="4">
        <f t="shared" si="15"/>
        <v>0</v>
      </c>
      <c r="BV13" s="16">
        <f t="shared" si="16"/>
        <v>0</v>
      </c>
      <c r="BW13" s="4">
        <f t="shared" si="17"/>
        <v>0</v>
      </c>
    </row>
    <row r="14" spans="1:75" x14ac:dyDescent="0.25">
      <c r="A14" s="2" t="s">
        <v>19</v>
      </c>
      <c r="B14" s="4">
        <v>2020</v>
      </c>
      <c r="C14" s="4">
        <v>35</v>
      </c>
      <c r="D14" s="4" t="str">
        <f t="shared" si="18"/>
        <v>$70,000.00</v>
      </c>
      <c r="E14" s="16">
        <v>70000</v>
      </c>
      <c r="F14" s="4">
        <v>1</v>
      </c>
      <c r="G14" s="4">
        <v>35</v>
      </c>
      <c r="H14" s="4" t="str">
        <f t="shared" si="19"/>
        <v>$175,000.00</v>
      </c>
      <c r="I14" s="16">
        <v>175000</v>
      </c>
      <c r="J14" s="4">
        <v>1</v>
      </c>
      <c r="K14" s="4">
        <v>16</v>
      </c>
      <c r="L14" s="4" t="str">
        <f t="shared" si="20"/>
        <v>$24,000.00</v>
      </c>
      <c r="M14" s="16">
        <v>24000</v>
      </c>
      <c r="N14" s="4">
        <v>1</v>
      </c>
      <c r="O14" s="4">
        <v>213.33</v>
      </c>
      <c r="P14" s="4" t="str">
        <f t="shared" si="21"/>
        <v>$319,995.00</v>
      </c>
      <c r="Q14" s="16">
        <v>319995</v>
      </c>
      <c r="R14" s="4">
        <v>1</v>
      </c>
      <c r="S14" s="4">
        <v>0</v>
      </c>
      <c r="T14" s="16">
        <v>0</v>
      </c>
      <c r="U14" s="4">
        <v>0</v>
      </c>
      <c r="V14" s="4" t="s">
        <v>121</v>
      </c>
      <c r="W14" s="4">
        <v>2021</v>
      </c>
      <c r="X14" s="4">
        <v>0</v>
      </c>
      <c r="Y14" s="16">
        <v>0</v>
      </c>
      <c r="Z14" s="4">
        <v>0</v>
      </c>
      <c r="AA14" s="4">
        <v>0</v>
      </c>
      <c r="AB14" s="16">
        <v>0</v>
      </c>
      <c r="AC14" s="4">
        <v>0</v>
      </c>
      <c r="AD14" s="4">
        <v>0</v>
      </c>
      <c r="AE14" s="16">
        <v>0</v>
      </c>
      <c r="AF14" s="4">
        <v>0</v>
      </c>
      <c r="AG14" s="4">
        <v>0</v>
      </c>
      <c r="AH14" s="16">
        <v>0</v>
      </c>
      <c r="AI14" s="4">
        <v>0</v>
      </c>
      <c r="AJ14" s="4">
        <v>0</v>
      </c>
      <c r="AK14" s="16">
        <v>0</v>
      </c>
      <c r="AL14" s="28">
        <v>0</v>
      </c>
      <c r="AM14" s="4"/>
      <c r="AN14" s="2" t="s">
        <v>20</v>
      </c>
      <c r="AO14" s="4">
        <v>2022</v>
      </c>
      <c r="AP14" s="4">
        <v>0</v>
      </c>
      <c r="AQ14" s="16">
        <v>0</v>
      </c>
      <c r="AR14" s="4">
        <v>0</v>
      </c>
      <c r="AS14" s="4"/>
      <c r="AT14" s="16"/>
      <c r="AU14" s="4">
        <v>0</v>
      </c>
      <c r="AV14" s="4">
        <v>0</v>
      </c>
      <c r="AW14" s="16">
        <v>0</v>
      </c>
      <c r="AX14" s="4">
        <v>0</v>
      </c>
      <c r="AY14" s="4">
        <v>0</v>
      </c>
      <c r="AZ14" s="16">
        <v>0</v>
      </c>
      <c r="BA14" s="4">
        <v>0</v>
      </c>
      <c r="BB14" s="4">
        <v>0</v>
      </c>
      <c r="BC14" s="16">
        <v>0</v>
      </c>
      <c r="BD14" s="4">
        <v>0</v>
      </c>
      <c r="BE14" s="4"/>
      <c r="BF14" s="4">
        <f t="shared" si="0"/>
        <v>0</v>
      </c>
      <c r="BG14" s="16">
        <f t="shared" si="1"/>
        <v>0</v>
      </c>
      <c r="BH14" s="4">
        <f t="shared" si="2"/>
        <v>0</v>
      </c>
      <c r="BI14" s="4">
        <f t="shared" si="3"/>
        <v>0</v>
      </c>
      <c r="BJ14" s="16">
        <f t="shared" si="4"/>
        <v>0</v>
      </c>
      <c r="BK14" s="4">
        <f t="shared" si="5"/>
        <v>0</v>
      </c>
      <c r="BL14" s="4">
        <f t="shared" si="6"/>
        <v>0</v>
      </c>
      <c r="BM14" s="16">
        <f t="shared" si="7"/>
        <v>0</v>
      </c>
      <c r="BN14" s="4">
        <f t="shared" si="8"/>
        <v>0</v>
      </c>
      <c r="BO14" s="4">
        <f t="shared" si="9"/>
        <v>0</v>
      </c>
      <c r="BP14" s="16">
        <f t="shared" si="10"/>
        <v>0</v>
      </c>
      <c r="BQ14" s="4">
        <f t="shared" si="11"/>
        <v>0</v>
      </c>
      <c r="BR14" s="4">
        <f t="shared" si="12"/>
        <v>0</v>
      </c>
      <c r="BS14" s="16">
        <f t="shared" si="13"/>
        <v>0</v>
      </c>
      <c r="BT14" s="4">
        <f t="shared" si="14"/>
        <v>0</v>
      </c>
      <c r="BU14" s="4">
        <f t="shared" si="15"/>
        <v>0</v>
      </c>
      <c r="BV14" s="16">
        <f t="shared" si="16"/>
        <v>0</v>
      </c>
      <c r="BW14" s="4">
        <f t="shared" si="17"/>
        <v>0</v>
      </c>
    </row>
    <row r="15" spans="1:75" x14ac:dyDescent="0.25">
      <c r="A15" s="2" t="s">
        <v>20</v>
      </c>
      <c r="B15" s="4">
        <v>2020</v>
      </c>
      <c r="C15" s="4">
        <v>0</v>
      </c>
      <c r="D15" s="4" t="str">
        <f t="shared" si="18"/>
        <v>$0.00</v>
      </c>
      <c r="E15" s="16">
        <v>0</v>
      </c>
      <c r="F15" s="4">
        <v>0</v>
      </c>
      <c r="G15" s="4">
        <v>0</v>
      </c>
      <c r="H15" s="4" t="str">
        <f t="shared" si="19"/>
        <v>$0.00</v>
      </c>
      <c r="I15" s="16">
        <v>0</v>
      </c>
      <c r="J15" s="4">
        <v>0</v>
      </c>
      <c r="K15" s="4">
        <v>0</v>
      </c>
      <c r="L15" s="4" t="str">
        <f t="shared" si="20"/>
        <v>$0.00</v>
      </c>
      <c r="M15" s="16">
        <v>0</v>
      </c>
      <c r="N15" s="4">
        <v>0</v>
      </c>
      <c r="O15" s="4">
        <v>0</v>
      </c>
      <c r="P15" s="4" t="str">
        <f t="shared" si="21"/>
        <v>$0.00</v>
      </c>
      <c r="Q15" s="16">
        <v>0</v>
      </c>
      <c r="R15" s="4">
        <v>0</v>
      </c>
      <c r="S15" s="4">
        <v>0</v>
      </c>
      <c r="T15" s="16">
        <v>0</v>
      </c>
      <c r="U15" s="4">
        <v>0</v>
      </c>
      <c r="V15" s="4" t="s">
        <v>122</v>
      </c>
      <c r="W15" s="4">
        <v>2021</v>
      </c>
      <c r="X15" s="4">
        <v>0</v>
      </c>
      <c r="Y15" s="16">
        <v>0</v>
      </c>
      <c r="Z15" s="4">
        <v>0</v>
      </c>
      <c r="AA15" s="4">
        <v>0</v>
      </c>
      <c r="AB15" s="16">
        <v>0</v>
      </c>
      <c r="AC15" s="4">
        <v>0</v>
      </c>
      <c r="AD15" s="4">
        <v>0</v>
      </c>
      <c r="AE15" s="16">
        <v>0</v>
      </c>
      <c r="AF15" s="4">
        <v>0</v>
      </c>
      <c r="AG15" s="4">
        <v>0</v>
      </c>
      <c r="AH15" s="16">
        <v>0</v>
      </c>
      <c r="AI15" s="4">
        <v>0</v>
      </c>
      <c r="AJ15" s="4">
        <v>0</v>
      </c>
      <c r="AK15" s="16">
        <v>0</v>
      </c>
      <c r="AL15" s="28">
        <v>0</v>
      </c>
      <c r="AM15" s="4"/>
      <c r="AN15" s="2" t="s">
        <v>121</v>
      </c>
      <c r="AO15" s="4">
        <v>2022</v>
      </c>
      <c r="AP15" s="4">
        <v>0</v>
      </c>
      <c r="AQ15" s="16">
        <v>0</v>
      </c>
      <c r="AR15" s="4">
        <v>0</v>
      </c>
      <c r="AS15" s="4"/>
      <c r="AT15" s="16"/>
      <c r="AU15" s="4">
        <v>0</v>
      </c>
      <c r="AV15" s="4">
        <v>0</v>
      </c>
      <c r="AW15" s="16">
        <v>0</v>
      </c>
      <c r="AX15" s="4">
        <v>0</v>
      </c>
      <c r="AY15" s="4">
        <v>0</v>
      </c>
      <c r="AZ15" s="16">
        <v>0</v>
      </c>
      <c r="BA15" s="4">
        <v>0</v>
      </c>
      <c r="BB15" s="4">
        <v>0</v>
      </c>
      <c r="BC15" s="16">
        <v>0</v>
      </c>
      <c r="BD15" s="4">
        <v>0</v>
      </c>
      <c r="BE15" s="4"/>
      <c r="BF15" s="4">
        <f t="shared" si="0"/>
        <v>0</v>
      </c>
      <c r="BG15" s="16">
        <f t="shared" si="1"/>
        <v>0</v>
      </c>
      <c r="BH15" s="4">
        <f t="shared" si="2"/>
        <v>0</v>
      </c>
      <c r="BI15" s="4">
        <f t="shared" si="3"/>
        <v>0</v>
      </c>
      <c r="BJ15" s="16">
        <f t="shared" si="4"/>
        <v>0</v>
      </c>
      <c r="BK15" s="4">
        <f t="shared" si="5"/>
        <v>0</v>
      </c>
      <c r="BL15" s="4">
        <f t="shared" si="6"/>
        <v>0</v>
      </c>
      <c r="BM15" s="16">
        <f t="shared" si="7"/>
        <v>0</v>
      </c>
      <c r="BN15" s="4">
        <f t="shared" si="8"/>
        <v>0</v>
      </c>
      <c r="BO15" s="4">
        <f t="shared" si="9"/>
        <v>0</v>
      </c>
      <c r="BP15" s="16">
        <f t="shared" si="10"/>
        <v>0</v>
      </c>
      <c r="BQ15" s="4">
        <f t="shared" si="11"/>
        <v>0</v>
      </c>
      <c r="BR15" s="4">
        <f t="shared" si="12"/>
        <v>0</v>
      </c>
      <c r="BS15" s="16">
        <f t="shared" si="13"/>
        <v>0</v>
      </c>
      <c r="BT15" s="4">
        <f t="shared" si="14"/>
        <v>0</v>
      </c>
      <c r="BU15" s="4">
        <f t="shared" si="15"/>
        <v>0</v>
      </c>
      <c r="BV15" s="16">
        <f t="shared" si="16"/>
        <v>0</v>
      </c>
      <c r="BW15" s="4">
        <f t="shared" si="17"/>
        <v>0</v>
      </c>
    </row>
    <row r="16" spans="1:75" x14ac:dyDescent="0.25">
      <c r="A16" s="2" t="s">
        <v>121</v>
      </c>
      <c r="B16" s="4">
        <v>2020</v>
      </c>
      <c r="C16" s="4">
        <v>0</v>
      </c>
      <c r="D16" s="4" t="str">
        <f t="shared" si="18"/>
        <v>$0.00</v>
      </c>
      <c r="E16" s="16">
        <v>0</v>
      </c>
      <c r="F16" s="4">
        <v>0</v>
      </c>
      <c r="G16" s="4">
        <v>0</v>
      </c>
      <c r="H16" s="4" t="str">
        <f t="shared" si="19"/>
        <v>$0.00</v>
      </c>
      <c r="I16" s="16">
        <v>0</v>
      </c>
      <c r="J16" s="4">
        <v>0</v>
      </c>
      <c r="K16" s="4">
        <v>0</v>
      </c>
      <c r="L16" s="4" t="str">
        <f t="shared" si="20"/>
        <v>$0.00</v>
      </c>
      <c r="M16" s="16">
        <v>0</v>
      </c>
      <c r="N16" s="4">
        <v>0</v>
      </c>
      <c r="O16" s="4">
        <v>0</v>
      </c>
      <c r="P16" s="4" t="str">
        <f t="shared" si="21"/>
        <v>$0.00</v>
      </c>
      <c r="Q16" s="16">
        <v>0</v>
      </c>
      <c r="R16" s="4">
        <v>0</v>
      </c>
      <c r="S16" s="4">
        <v>0</v>
      </c>
      <c r="T16" s="16">
        <v>0</v>
      </c>
      <c r="U16" s="4">
        <v>0</v>
      </c>
      <c r="V16" s="4" t="s">
        <v>21</v>
      </c>
      <c r="W16" s="4">
        <v>2021</v>
      </c>
      <c r="X16" s="4">
        <v>7</v>
      </c>
      <c r="Y16" s="16">
        <v>17500</v>
      </c>
      <c r="Z16" s="4">
        <v>1</v>
      </c>
      <c r="AA16" s="4">
        <v>26.15</v>
      </c>
      <c r="AB16" s="16">
        <v>130750</v>
      </c>
      <c r="AC16" s="4">
        <v>3</v>
      </c>
      <c r="AD16" s="4">
        <v>60</v>
      </c>
      <c r="AE16" s="16">
        <v>90000</v>
      </c>
      <c r="AF16" s="4">
        <v>5</v>
      </c>
      <c r="AG16" s="4">
        <v>157</v>
      </c>
      <c r="AH16" s="16">
        <v>235500</v>
      </c>
      <c r="AI16" s="4">
        <v>2</v>
      </c>
      <c r="AJ16" s="4">
        <v>0</v>
      </c>
      <c r="AK16" s="16">
        <v>0</v>
      </c>
      <c r="AL16" s="28">
        <v>0</v>
      </c>
      <c r="AM16" s="4"/>
      <c r="AN16" s="2" t="s">
        <v>122</v>
      </c>
      <c r="AO16" s="4">
        <v>2022</v>
      </c>
      <c r="AP16" s="4">
        <v>0</v>
      </c>
      <c r="AQ16" s="16">
        <v>0</v>
      </c>
      <c r="AR16" s="4">
        <v>0</v>
      </c>
      <c r="AS16" s="4"/>
      <c r="AT16" s="16"/>
      <c r="AU16" s="4">
        <v>0</v>
      </c>
      <c r="AV16" s="4">
        <v>0</v>
      </c>
      <c r="AW16" s="16">
        <v>0</v>
      </c>
      <c r="AX16" s="4">
        <v>0</v>
      </c>
      <c r="AY16" s="4">
        <v>0</v>
      </c>
      <c r="AZ16" s="16">
        <v>0</v>
      </c>
      <c r="BA16" s="4">
        <v>0</v>
      </c>
      <c r="BB16" s="4">
        <v>0</v>
      </c>
      <c r="BC16" s="16">
        <v>0</v>
      </c>
      <c r="BD16" s="4">
        <v>0</v>
      </c>
      <c r="BE16" s="4"/>
      <c r="BF16" s="4">
        <f t="shared" si="0"/>
        <v>79.2</v>
      </c>
      <c r="BG16" s="16">
        <f t="shared" si="1"/>
        <v>217150</v>
      </c>
      <c r="BH16" s="4">
        <f t="shared" si="2"/>
        <v>7</v>
      </c>
      <c r="BI16" s="4">
        <f t="shared" si="3"/>
        <v>33.15</v>
      </c>
      <c r="BJ16" s="16">
        <f t="shared" si="4"/>
        <v>165750</v>
      </c>
      <c r="BK16" s="4">
        <f t="shared" si="5"/>
        <v>4</v>
      </c>
      <c r="BL16" s="4">
        <f t="shared" si="6"/>
        <v>155</v>
      </c>
      <c r="BM16" s="16">
        <f t="shared" si="7"/>
        <v>232500</v>
      </c>
      <c r="BN16" s="4">
        <f t="shared" si="8"/>
        <v>12</v>
      </c>
      <c r="BO16" s="4">
        <f t="shared" si="9"/>
        <v>914</v>
      </c>
      <c r="BP16" s="16">
        <f t="shared" si="10"/>
        <v>1371000</v>
      </c>
      <c r="BQ16" s="4">
        <f t="shared" si="11"/>
        <v>6</v>
      </c>
      <c r="BR16" s="4">
        <f t="shared" si="12"/>
        <v>1</v>
      </c>
      <c r="BS16" s="16">
        <f t="shared" si="13"/>
        <v>165000</v>
      </c>
      <c r="BT16" s="4">
        <f t="shared" si="14"/>
        <v>1</v>
      </c>
      <c r="BU16" s="4">
        <f t="shared" si="15"/>
        <v>1181.3499999999999</v>
      </c>
      <c r="BV16" s="16">
        <f t="shared" si="16"/>
        <v>2151400</v>
      </c>
      <c r="BW16" s="4">
        <f t="shared" si="17"/>
        <v>30</v>
      </c>
    </row>
    <row r="17" spans="1:75" x14ac:dyDescent="0.25">
      <c r="A17" s="2" t="s">
        <v>122</v>
      </c>
      <c r="B17" s="4">
        <v>2020</v>
      </c>
      <c r="C17" s="4">
        <v>0</v>
      </c>
      <c r="D17" s="4" t="str">
        <f t="shared" si="18"/>
        <v>$0.00</v>
      </c>
      <c r="E17" s="16">
        <v>0</v>
      </c>
      <c r="F17" s="4">
        <v>0</v>
      </c>
      <c r="G17" s="4">
        <v>0</v>
      </c>
      <c r="H17" s="4" t="str">
        <f t="shared" si="19"/>
        <v>$0.00</v>
      </c>
      <c r="I17" s="16">
        <v>0</v>
      </c>
      <c r="J17" s="4">
        <v>0</v>
      </c>
      <c r="K17" s="4">
        <v>0</v>
      </c>
      <c r="L17" s="4" t="str">
        <f t="shared" si="20"/>
        <v>$0.00</v>
      </c>
      <c r="M17" s="16">
        <v>0</v>
      </c>
      <c r="N17" s="4">
        <v>0</v>
      </c>
      <c r="O17" s="4">
        <v>0</v>
      </c>
      <c r="P17" s="4" t="str">
        <f t="shared" si="21"/>
        <v>$0.00</v>
      </c>
      <c r="Q17" s="16">
        <v>0</v>
      </c>
      <c r="R17" s="4">
        <v>0</v>
      </c>
      <c r="S17" s="4">
        <v>0</v>
      </c>
      <c r="T17" s="16">
        <v>0</v>
      </c>
      <c r="U17" s="4">
        <v>0</v>
      </c>
      <c r="V17" s="4" t="s">
        <v>22</v>
      </c>
      <c r="W17" s="4">
        <v>2021</v>
      </c>
      <c r="X17" s="4">
        <v>21</v>
      </c>
      <c r="Y17" s="16">
        <v>52500</v>
      </c>
      <c r="Z17" s="4">
        <v>1</v>
      </c>
      <c r="AA17" s="4">
        <v>4</v>
      </c>
      <c r="AB17" s="16">
        <v>20000</v>
      </c>
      <c r="AC17" s="4">
        <v>1</v>
      </c>
      <c r="AD17" s="4">
        <v>0</v>
      </c>
      <c r="AE17" s="16">
        <v>0</v>
      </c>
      <c r="AF17" s="4">
        <v>0</v>
      </c>
      <c r="AG17" s="4">
        <v>304</v>
      </c>
      <c r="AH17" s="16">
        <v>456000</v>
      </c>
      <c r="AI17" s="4">
        <v>3</v>
      </c>
      <c r="AJ17" s="4">
        <v>0</v>
      </c>
      <c r="AK17" s="16">
        <v>0</v>
      </c>
      <c r="AL17" s="28">
        <v>0</v>
      </c>
      <c r="AM17" s="4"/>
      <c r="AN17" s="2" t="s">
        <v>21</v>
      </c>
      <c r="AO17" s="4">
        <v>2022</v>
      </c>
      <c r="AP17" s="4">
        <v>50.5</v>
      </c>
      <c r="AQ17" s="16">
        <v>126250</v>
      </c>
      <c r="AR17" s="4">
        <v>4</v>
      </c>
      <c r="AS17" s="4"/>
      <c r="AT17" s="16"/>
      <c r="AU17" s="4">
        <v>0</v>
      </c>
      <c r="AV17" s="4">
        <v>9</v>
      </c>
      <c r="AW17" s="16">
        <v>13500</v>
      </c>
      <c r="AX17" s="4">
        <v>2</v>
      </c>
      <c r="AY17" s="4">
        <v>457</v>
      </c>
      <c r="AZ17" s="16">
        <v>685500</v>
      </c>
      <c r="BA17" s="4">
        <v>3</v>
      </c>
      <c r="BB17" s="4">
        <v>1</v>
      </c>
      <c r="BC17" s="16">
        <v>165000</v>
      </c>
      <c r="BD17" s="4">
        <v>1</v>
      </c>
      <c r="BE17" s="4"/>
      <c r="BF17" s="4">
        <f t="shared" si="0"/>
        <v>52</v>
      </c>
      <c r="BG17" s="16">
        <f t="shared" si="1"/>
        <v>130000</v>
      </c>
      <c r="BH17" s="4">
        <f t="shared" si="2"/>
        <v>3</v>
      </c>
      <c r="BI17" s="4">
        <f t="shared" si="3"/>
        <v>12.5</v>
      </c>
      <c r="BJ17" s="16">
        <f t="shared" si="4"/>
        <v>62500</v>
      </c>
      <c r="BK17" s="4">
        <f t="shared" si="5"/>
        <v>5</v>
      </c>
      <c r="BL17" s="4">
        <f t="shared" si="6"/>
        <v>0</v>
      </c>
      <c r="BM17" s="16">
        <f t="shared" si="7"/>
        <v>0</v>
      </c>
      <c r="BN17" s="4">
        <f t="shared" si="8"/>
        <v>0</v>
      </c>
      <c r="BO17" s="4">
        <f t="shared" si="9"/>
        <v>612</v>
      </c>
      <c r="BP17" s="16">
        <f t="shared" si="10"/>
        <v>918000</v>
      </c>
      <c r="BQ17" s="4">
        <f t="shared" si="11"/>
        <v>6</v>
      </c>
      <c r="BR17" s="4">
        <f t="shared" si="12"/>
        <v>0</v>
      </c>
      <c r="BS17" s="16">
        <f t="shared" si="13"/>
        <v>0</v>
      </c>
      <c r="BT17" s="4">
        <f t="shared" si="14"/>
        <v>0</v>
      </c>
      <c r="BU17" s="4">
        <f t="shared" si="15"/>
        <v>676.5</v>
      </c>
      <c r="BV17" s="16">
        <f t="shared" si="16"/>
        <v>1110500</v>
      </c>
      <c r="BW17" s="4">
        <f t="shared" si="17"/>
        <v>14</v>
      </c>
    </row>
    <row r="18" spans="1:75" x14ac:dyDescent="0.25">
      <c r="A18" s="2" t="s">
        <v>21</v>
      </c>
      <c r="B18" s="4">
        <v>2020</v>
      </c>
      <c r="C18" s="4">
        <v>21.7</v>
      </c>
      <c r="D18" s="4" t="str">
        <f t="shared" si="18"/>
        <v>$73,400.00</v>
      </c>
      <c r="E18" s="16">
        <v>73400</v>
      </c>
      <c r="F18" s="4">
        <v>2</v>
      </c>
      <c r="G18" s="4">
        <v>7</v>
      </c>
      <c r="H18" s="4" t="str">
        <f t="shared" si="19"/>
        <v>$35,000.00</v>
      </c>
      <c r="I18" s="16">
        <v>35000</v>
      </c>
      <c r="J18" s="4">
        <v>1</v>
      </c>
      <c r="K18" s="4">
        <v>86</v>
      </c>
      <c r="L18" s="4" t="str">
        <f t="shared" si="20"/>
        <v>$129,000.00</v>
      </c>
      <c r="M18" s="16">
        <v>129000</v>
      </c>
      <c r="N18" s="4">
        <v>5</v>
      </c>
      <c r="O18" s="4">
        <v>300</v>
      </c>
      <c r="P18" s="4" t="str">
        <f t="shared" si="21"/>
        <v>$450,000.00</v>
      </c>
      <c r="Q18" s="16">
        <v>450000</v>
      </c>
      <c r="R18" s="4">
        <v>1</v>
      </c>
      <c r="S18" s="4">
        <v>0</v>
      </c>
      <c r="T18" s="16">
        <v>0</v>
      </c>
      <c r="U18" s="4">
        <v>0</v>
      </c>
      <c r="V18" s="4" t="s">
        <v>23</v>
      </c>
      <c r="W18" s="4">
        <v>2021</v>
      </c>
      <c r="X18" s="4">
        <v>90</v>
      </c>
      <c r="Y18" s="16">
        <v>225000</v>
      </c>
      <c r="Z18" s="4">
        <v>2</v>
      </c>
      <c r="AA18" s="4">
        <v>10.5</v>
      </c>
      <c r="AB18" s="16">
        <v>52500</v>
      </c>
      <c r="AC18" s="4">
        <v>1</v>
      </c>
      <c r="AD18" s="4">
        <v>99</v>
      </c>
      <c r="AE18" s="16">
        <v>148500</v>
      </c>
      <c r="AF18" s="4">
        <v>2</v>
      </c>
      <c r="AG18" s="4">
        <v>184</v>
      </c>
      <c r="AH18" s="16">
        <v>276000</v>
      </c>
      <c r="AI18" s="4">
        <v>1</v>
      </c>
      <c r="AJ18" s="4">
        <v>0</v>
      </c>
      <c r="AK18" s="16">
        <v>0</v>
      </c>
      <c r="AL18" s="28">
        <v>0</v>
      </c>
      <c r="AM18" s="4"/>
      <c r="AN18" s="2" t="s">
        <v>22</v>
      </c>
      <c r="AO18" s="4">
        <v>2022</v>
      </c>
      <c r="AP18" s="4">
        <v>31</v>
      </c>
      <c r="AQ18" s="16">
        <v>77500</v>
      </c>
      <c r="AR18" s="4">
        <v>2</v>
      </c>
      <c r="AS18" s="4">
        <v>4</v>
      </c>
      <c r="AT18" s="16">
        <v>20000</v>
      </c>
      <c r="AU18" s="4">
        <v>2</v>
      </c>
      <c r="AV18" s="4">
        <v>0</v>
      </c>
      <c r="AW18" s="16">
        <v>0</v>
      </c>
      <c r="AX18" s="4">
        <v>0</v>
      </c>
      <c r="AY18" s="4">
        <v>308</v>
      </c>
      <c r="AZ18" s="16">
        <v>462000</v>
      </c>
      <c r="BA18" s="4">
        <v>3</v>
      </c>
      <c r="BB18" s="4">
        <v>0</v>
      </c>
      <c r="BC18" s="16">
        <v>0</v>
      </c>
      <c r="BD18" s="4">
        <v>0</v>
      </c>
      <c r="BE18" s="4"/>
      <c r="BF18" s="4">
        <f t="shared" si="0"/>
        <v>167.5</v>
      </c>
      <c r="BG18" s="16">
        <f t="shared" si="1"/>
        <v>410800</v>
      </c>
      <c r="BH18" s="4">
        <f t="shared" si="2"/>
        <v>7</v>
      </c>
      <c r="BI18" s="4">
        <f t="shared" si="3"/>
        <v>48.7</v>
      </c>
      <c r="BJ18" s="16">
        <f t="shared" si="4"/>
        <v>243500</v>
      </c>
      <c r="BK18" s="4">
        <f t="shared" si="5"/>
        <v>3</v>
      </c>
      <c r="BL18" s="4">
        <f t="shared" si="6"/>
        <v>300</v>
      </c>
      <c r="BM18" s="16">
        <f t="shared" si="7"/>
        <v>450000</v>
      </c>
      <c r="BN18" s="4">
        <f t="shared" si="8"/>
        <v>7</v>
      </c>
      <c r="BO18" s="4">
        <f t="shared" si="9"/>
        <v>552</v>
      </c>
      <c r="BP18" s="16">
        <f t="shared" si="10"/>
        <v>828000</v>
      </c>
      <c r="BQ18" s="4">
        <f t="shared" si="11"/>
        <v>3</v>
      </c>
      <c r="BR18" s="4">
        <f t="shared" si="12"/>
        <v>0</v>
      </c>
      <c r="BS18" s="16">
        <f t="shared" si="13"/>
        <v>0</v>
      </c>
      <c r="BT18" s="4">
        <f t="shared" si="14"/>
        <v>0</v>
      </c>
      <c r="BU18" s="4">
        <f t="shared" si="15"/>
        <v>1068.2</v>
      </c>
      <c r="BV18" s="16">
        <f t="shared" si="16"/>
        <v>1932300</v>
      </c>
      <c r="BW18" s="4">
        <f t="shared" si="17"/>
        <v>20</v>
      </c>
    </row>
    <row r="19" spans="1:75" x14ac:dyDescent="0.25">
      <c r="A19" s="2" t="s">
        <v>22</v>
      </c>
      <c r="B19" s="4">
        <v>2020</v>
      </c>
      <c r="C19" s="4">
        <v>0</v>
      </c>
      <c r="D19" s="4" t="str">
        <f t="shared" si="18"/>
        <v>$0.00</v>
      </c>
      <c r="E19" s="16">
        <v>0</v>
      </c>
      <c r="F19" s="4">
        <v>0</v>
      </c>
      <c r="G19" s="4">
        <v>4.5</v>
      </c>
      <c r="H19" s="4" t="str">
        <f t="shared" si="19"/>
        <v>$22,500.00</v>
      </c>
      <c r="I19" s="16">
        <v>22500</v>
      </c>
      <c r="J19" s="4">
        <v>2</v>
      </c>
      <c r="K19" s="4">
        <v>0</v>
      </c>
      <c r="L19" s="4" t="str">
        <f t="shared" si="20"/>
        <v>$0.00</v>
      </c>
      <c r="M19" s="16">
        <v>0</v>
      </c>
      <c r="N19" s="4">
        <v>0</v>
      </c>
      <c r="O19" s="4">
        <v>0</v>
      </c>
      <c r="P19" s="4" t="str">
        <f t="shared" si="21"/>
        <v>$0.00</v>
      </c>
      <c r="Q19" s="16">
        <v>0</v>
      </c>
      <c r="R19" s="4">
        <v>0</v>
      </c>
      <c r="S19" s="4">
        <v>0</v>
      </c>
      <c r="T19" s="16">
        <v>0</v>
      </c>
      <c r="U19" s="4">
        <v>0</v>
      </c>
      <c r="V19" s="4" t="s">
        <v>24</v>
      </c>
      <c r="W19" s="4">
        <v>2021</v>
      </c>
      <c r="X19" s="4">
        <v>0</v>
      </c>
      <c r="Y19" s="16">
        <v>0</v>
      </c>
      <c r="Z19" s="4">
        <v>0</v>
      </c>
      <c r="AA19" s="4">
        <v>0</v>
      </c>
      <c r="AB19" s="16">
        <v>0</v>
      </c>
      <c r="AC19" s="4">
        <v>0</v>
      </c>
      <c r="AD19" s="4">
        <v>0</v>
      </c>
      <c r="AE19" s="16">
        <v>0</v>
      </c>
      <c r="AF19" s="4">
        <v>0</v>
      </c>
      <c r="AG19" s="4">
        <v>0</v>
      </c>
      <c r="AH19" s="16">
        <v>0</v>
      </c>
      <c r="AI19" s="4">
        <v>0</v>
      </c>
      <c r="AJ19" s="4">
        <v>0</v>
      </c>
      <c r="AK19" s="16">
        <v>0</v>
      </c>
      <c r="AL19" s="28">
        <v>0</v>
      </c>
      <c r="AM19" s="4"/>
      <c r="AN19" s="2" t="s">
        <v>23</v>
      </c>
      <c r="AO19" s="4">
        <v>2022</v>
      </c>
      <c r="AP19" s="4">
        <v>61.6</v>
      </c>
      <c r="AQ19" s="16">
        <v>154000</v>
      </c>
      <c r="AR19" s="4">
        <v>3</v>
      </c>
      <c r="AS19" s="4"/>
      <c r="AT19" s="16"/>
      <c r="AU19" s="4">
        <v>0</v>
      </c>
      <c r="AV19" s="4">
        <v>102</v>
      </c>
      <c r="AW19" s="16">
        <v>153000</v>
      </c>
      <c r="AX19" s="4">
        <v>3</v>
      </c>
      <c r="AY19" s="4">
        <v>184</v>
      </c>
      <c r="AZ19" s="16">
        <v>276000</v>
      </c>
      <c r="BA19" s="4">
        <v>1</v>
      </c>
      <c r="BB19" s="4">
        <v>0</v>
      </c>
      <c r="BC19" s="16">
        <v>0</v>
      </c>
      <c r="BD19" s="4">
        <v>0</v>
      </c>
      <c r="BE19" s="4"/>
      <c r="BF19" s="4">
        <f t="shared" si="0"/>
        <v>5</v>
      </c>
      <c r="BG19" s="16">
        <f t="shared" si="1"/>
        <v>12500</v>
      </c>
      <c r="BH19" s="4">
        <f t="shared" si="2"/>
        <v>1</v>
      </c>
      <c r="BI19" s="4">
        <f t="shared" si="3"/>
        <v>0</v>
      </c>
      <c r="BJ19" s="16">
        <f t="shared" si="4"/>
        <v>0</v>
      </c>
      <c r="BK19" s="4">
        <f t="shared" si="5"/>
        <v>0</v>
      </c>
      <c r="BL19" s="4">
        <f t="shared" si="6"/>
        <v>7</v>
      </c>
      <c r="BM19" s="16">
        <f t="shared" si="7"/>
        <v>10500</v>
      </c>
      <c r="BN19" s="4">
        <f t="shared" si="8"/>
        <v>1</v>
      </c>
      <c r="BO19" s="4">
        <f t="shared" si="9"/>
        <v>0</v>
      </c>
      <c r="BP19" s="16">
        <f t="shared" si="10"/>
        <v>0</v>
      </c>
      <c r="BQ19" s="4">
        <f t="shared" si="11"/>
        <v>0</v>
      </c>
      <c r="BR19" s="4">
        <f t="shared" si="12"/>
        <v>0</v>
      </c>
      <c r="BS19" s="16">
        <f t="shared" si="13"/>
        <v>0</v>
      </c>
      <c r="BT19" s="4">
        <f t="shared" si="14"/>
        <v>0</v>
      </c>
      <c r="BU19" s="4">
        <f t="shared" si="15"/>
        <v>12</v>
      </c>
      <c r="BV19" s="16">
        <f t="shared" si="16"/>
        <v>23000</v>
      </c>
      <c r="BW19" s="4">
        <f t="shared" si="17"/>
        <v>2</v>
      </c>
    </row>
    <row r="20" spans="1:75" x14ac:dyDescent="0.25">
      <c r="A20" s="2" t="s">
        <v>23</v>
      </c>
      <c r="B20" s="4">
        <v>2020</v>
      </c>
      <c r="C20" s="4">
        <v>15.9</v>
      </c>
      <c r="D20" s="4" t="str">
        <f t="shared" si="18"/>
        <v>$31,800.00</v>
      </c>
      <c r="E20" s="16">
        <v>31800</v>
      </c>
      <c r="F20" s="4">
        <v>2</v>
      </c>
      <c r="G20" s="4">
        <v>38.200000000000003</v>
      </c>
      <c r="H20" s="4" t="str">
        <f t="shared" si="19"/>
        <v>$191,000.00</v>
      </c>
      <c r="I20" s="16">
        <v>191000</v>
      </c>
      <c r="J20" s="4">
        <v>2</v>
      </c>
      <c r="K20" s="4">
        <v>99</v>
      </c>
      <c r="L20" s="4" t="str">
        <f t="shared" si="20"/>
        <v>$148,500.00</v>
      </c>
      <c r="M20" s="16">
        <v>148500</v>
      </c>
      <c r="N20" s="4">
        <v>2</v>
      </c>
      <c r="O20" s="4">
        <v>184</v>
      </c>
      <c r="P20" s="4" t="str">
        <f t="shared" si="21"/>
        <v>$276,000.00</v>
      </c>
      <c r="Q20" s="16">
        <v>276000</v>
      </c>
      <c r="R20" s="4">
        <v>1</v>
      </c>
      <c r="S20" s="4">
        <v>0</v>
      </c>
      <c r="T20" s="16">
        <v>0</v>
      </c>
      <c r="U20" s="4">
        <v>0</v>
      </c>
      <c r="V20" s="4" t="s">
        <v>25</v>
      </c>
      <c r="W20" s="4">
        <v>2021</v>
      </c>
      <c r="X20" s="4">
        <v>64.5</v>
      </c>
      <c r="Y20" s="16">
        <v>161250</v>
      </c>
      <c r="Z20" s="4">
        <v>2</v>
      </c>
      <c r="AA20" s="4">
        <v>0</v>
      </c>
      <c r="AB20" s="16">
        <v>0</v>
      </c>
      <c r="AC20" s="4">
        <v>0</v>
      </c>
      <c r="AD20" s="4">
        <v>128</v>
      </c>
      <c r="AE20" s="16">
        <v>192000</v>
      </c>
      <c r="AF20" s="4">
        <v>4</v>
      </c>
      <c r="AG20" s="4">
        <v>732</v>
      </c>
      <c r="AH20" s="16">
        <v>1098000</v>
      </c>
      <c r="AI20" s="4">
        <v>4</v>
      </c>
      <c r="AJ20" s="4">
        <v>1</v>
      </c>
      <c r="AK20" s="16">
        <v>175000</v>
      </c>
      <c r="AL20" s="28">
        <v>1</v>
      </c>
      <c r="AM20" s="4"/>
      <c r="AN20" s="2" t="s">
        <v>24</v>
      </c>
      <c r="AO20" s="4">
        <v>2022</v>
      </c>
      <c r="AP20" s="4">
        <v>5</v>
      </c>
      <c r="AQ20" s="16">
        <v>12500</v>
      </c>
      <c r="AR20" s="4">
        <v>1</v>
      </c>
      <c r="AS20" s="4"/>
      <c r="AT20" s="16"/>
      <c r="AU20" s="4">
        <v>0</v>
      </c>
      <c r="AV20" s="4">
        <v>0</v>
      </c>
      <c r="AW20" s="16">
        <v>0</v>
      </c>
      <c r="AX20" s="4">
        <v>0</v>
      </c>
      <c r="AY20" s="4">
        <v>0</v>
      </c>
      <c r="AZ20" s="16">
        <v>0</v>
      </c>
      <c r="BA20" s="4">
        <v>0</v>
      </c>
      <c r="BB20" s="4">
        <v>0</v>
      </c>
      <c r="BC20" s="16">
        <v>0</v>
      </c>
      <c r="BD20" s="4">
        <v>0</v>
      </c>
      <c r="BE20" s="4"/>
      <c r="BF20" s="4">
        <f t="shared" si="0"/>
        <v>213.1</v>
      </c>
      <c r="BG20" s="16">
        <f t="shared" si="1"/>
        <v>476200</v>
      </c>
      <c r="BH20" s="4">
        <f t="shared" si="2"/>
        <v>6</v>
      </c>
      <c r="BI20" s="4">
        <f t="shared" si="3"/>
        <v>0</v>
      </c>
      <c r="BJ20" s="16">
        <f t="shared" si="4"/>
        <v>0</v>
      </c>
      <c r="BK20" s="4">
        <f t="shared" si="5"/>
        <v>0</v>
      </c>
      <c r="BL20" s="4">
        <f t="shared" si="6"/>
        <v>442</v>
      </c>
      <c r="BM20" s="16">
        <f t="shared" si="7"/>
        <v>663000</v>
      </c>
      <c r="BN20" s="4">
        <f t="shared" si="8"/>
        <v>12</v>
      </c>
      <c r="BO20" s="4">
        <f t="shared" si="9"/>
        <v>2197</v>
      </c>
      <c r="BP20" s="16">
        <f t="shared" si="10"/>
        <v>3295500</v>
      </c>
      <c r="BQ20" s="4">
        <f t="shared" si="11"/>
        <v>12</v>
      </c>
      <c r="BR20" s="4">
        <f t="shared" si="12"/>
        <v>1</v>
      </c>
      <c r="BS20" s="16">
        <f t="shared" si="13"/>
        <v>175000</v>
      </c>
      <c r="BT20" s="4">
        <f t="shared" si="14"/>
        <v>1</v>
      </c>
      <c r="BU20" s="4">
        <f t="shared" si="15"/>
        <v>2852.1</v>
      </c>
      <c r="BV20" s="16">
        <f t="shared" si="16"/>
        <v>4609700</v>
      </c>
      <c r="BW20" s="4">
        <f t="shared" si="17"/>
        <v>31</v>
      </c>
    </row>
    <row r="21" spans="1:75" x14ac:dyDescent="0.25">
      <c r="A21" s="2" t="s">
        <v>24</v>
      </c>
      <c r="B21" s="4">
        <v>2020</v>
      </c>
      <c r="C21" s="4">
        <v>0</v>
      </c>
      <c r="D21" s="4" t="str">
        <f t="shared" si="18"/>
        <v>$0.00</v>
      </c>
      <c r="E21" s="16">
        <v>0</v>
      </c>
      <c r="F21" s="4">
        <v>0</v>
      </c>
      <c r="G21" s="4">
        <v>0</v>
      </c>
      <c r="H21" s="4" t="str">
        <f t="shared" si="19"/>
        <v>$0.00</v>
      </c>
      <c r="I21" s="16">
        <v>0</v>
      </c>
      <c r="J21" s="4">
        <v>0</v>
      </c>
      <c r="K21" s="4">
        <v>7</v>
      </c>
      <c r="L21" s="4" t="str">
        <f t="shared" si="20"/>
        <v>$10,500.00</v>
      </c>
      <c r="M21" s="16">
        <v>10500</v>
      </c>
      <c r="N21" s="4">
        <v>1</v>
      </c>
      <c r="O21" s="4">
        <v>0</v>
      </c>
      <c r="P21" s="4" t="str">
        <f t="shared" si="21"/>
        <v>$0.00</v>
      </c>
      <c r="Q21" s="16">
        <v>0</v>
      </c>
      <c r="R21" s="4">
        <v>0</v>
      </c>
      <c r="S21" s="4">
        <v>0</v>
      </c>
      <c r="T21" s="16">
        <v>0</v>
      </c>
      <c r="U21" s="4">
        <v>0</v>
      </c>
      <c r="V21" s="4" t="s">
        <v>26</v>
      </c>
      <c r="W21" s="4">
        <v>2021</v>
      </c>
      <c r="X21" s="4">
        <v>0</v>
      </c>
      <c r="Y21" s="16">
        <v>0</v>
      </c>
      <c r="Z21" s="4">
        <v>0</v>
      </c>
      <c r="AA21" s="4">
        <v>1.6</v>
      </c>
      <c r="AB21" s="16">
        <v>8000</v>
      </c>
      <c r="AC21" s="4">
        <v>1</v>
      </c>
      <c r="AD21" s="4">
        <v>0</v>
      </c>
      <c r="AE21" s="16">
        <v>0</v>
      </c>
      <c r="AF21" s="4">
        <v>0</v>
      </c>
      <c r="AG21" s="4">
        <v>0</v>
      </c>
      <c r="AH21" s="16">
        <v>0</v>
      </c>
      <c r="AI21" s="4">
        <v>0</v>
      </c>
      <c r="AJ21" s="4">
        <v>0</v>
      </c>
      <c r="AK21" s="16">
        <v>0</v>
      </c>
      <c r="AL21" s="28">
        <v>0</v>
      </c>
      <c r="AM21" s="4"/>
      <c r="AN21" s="2" t="s">
        <v>25</v>
      </c>
      <c r="AO21" s="4">
        <v>2022</v>
      </c>
      <c r="AP21" s="4">
        <v>35.5</v>
      </c>
      <c r="AQ21" s="16">
        <v>88750</v>
      </c>
      <c r="AR21" s="4">
        <v>2</v>
      </c>
      <c r="AS21" s="4"/>
      <c r="AT21" s="16"/>
      <c r="AU21" s="4">
        <v>0</v>
      </c>
      <c r="AV21" s="4">
        <v>184</v>
      </c>
      <c r="AW21" s="16">
        <v>276000</v>
      </c>
      <c r="AX21" s="4">
        <v>4</v>
      </c>
      <c r="AY21" s="4">
        <v>737</v>
      </c>
      <c r="AZ21" s="16">
        <v>1105500</v>
      </c>
      <c r="BA21" s="4">
        <v>5</v>
      </c>
      <c r="BB21" s="4">
        <v>0</v>
      </c>
      <c r="BC21" s="16">
        <v>0</v>
      </c>
      <c r="BD21" s="4">
        <v>0</v>
      </c>
      <c r="BE21" s="4"/>
      <c r="BF21" s="4">
        <f t="shared" si="0"/>
        <v>0</v>
      </c>
      <c r="BG21" s="16">
        <f t="shared" si="1"/>
        <v>0</v>
      </c>
      <c r="BH21" s="4">
        <f t="shared" si="2"/>
        <v>0</v>
      </c>
      <c r="BI21" s="4">
        <f t="shared" si="3"/>
        <v>3.2</v>
      </c>
      <c r="BJ21" s="16">
        <f t="shared" si="4"/>
        <v>16000</v>
      </c>
      <c r="BK21" s="4">
        <f t="shared" si="5"/>
        <v>2</v>
      </c>
      <c r="BL21" s="4">
        <f t="shared" si="6"/>
        <v>0</v>
      </c>
      <c r="BM21" s="16">
        <f t="shared" si="7"/>
        <v>0</v>
      </c>
      <c r="BN21" s="4">
        <f t="shared" si="8"/>
        <v>0</v>
      </c>
      <c r="BO21" s="4">
        <f t="shared" si="9"/>
        <v>0</v>
      </c>
      <c r="BP21" s="16">
        <f t="shared" si="10"/>
        <v>0</v>
      </c>
      <c r="BQ21" s="4">
        <f t="shared" si="11"/>
        <v>0</v>
      </c>
      <c r="BR21" s="4">
        <f t="shared" si="12"/>
        <v>0</v>
      </c>
      <c r="BS21" s="16">
        <f t="shared" si="13"/>
        <v>0</v>
      </c>
      <c r="BT21" s="4">
        <f t="shared" si="14"/>
        <v>0</v>
      </c>
      <c r="BU21" s="4">
        <f t="shared" si="15"/>
        <v>3.2</v>
      </c>
      <c r="BV21" s="16">
        <f t="shared" si="16"/>
        <v>16000</v>
      </c>
      <c r="BW21" s="4">
        <f t="shared" si="17"/>
        <v>2</v>
      </c>
    </row>
    <row r="22" spans="1:75" x14ac:dyDescent="0.25">
      <c r="A22" s="2" t="s">
        <v>25</v>
      </c>
      <c r="B22" s="4">
        <v>2020</v>
      </c>
      <c r="C22" s="4">
        <v>113.1</v>
      </c>
      <c r="D22" s="4" t="str">
        <f t="shared" si="18"/>
        <v>$226,200.00</v>
      </c>
      <c r="E22" s="16">
        <v>226200</v>
      </c>
      <c r="F22" s="4">
        <v>2</v>
      </c>
      <c r="G22" s="4">
        <v>0</v>
      </c>
      <c r="H22" s="4" t="str">
        <f t="shared" si="19"/>
        <v>$0.00</v>
      </c>
      <c r="I22" s="16">
        <v>0</v>
      </c>
      <c r="J22" s="4">
        <v>0</v>
      </c>
      <c r="K22" s="4">
        <v>130</v>
      </c>
      <c r="L22" s="4" t="str">
        <f t="shared" si="20"/>
        <v>$195,000.00</v>
      </c>
      <c r="M22" s="16">
        <v>195000</v>
      </c>
      <c r="N22" s="4">
        <v>4</v>
      </c>
      <c r="O22" s="4">
        <v>728</v>
      </c>
      <c r="P22" s="4" t="str">
        <f t="shared" si="21"/>
        <v>$1,092,000.00</v>
      </c>
      <c r="Q22" s="16">
        <v>1092000</v>
      </c>
      <c r="R22" s="4">
        <v>3</v>
      </c>
      <c r="S22" s="4">
        <v>0</v>
      </c>
      <c r="T22" s="16">
        <v>0</v>
      </c>
      <c r="U22" s="4">
        <v>0</v>
      </c>
      <c r="V22" s="4" t="s">
        <v>27</v>
      </c>
      <c r="W22" s="4">
        <v>2021</v>
      </c>
      <c r="X22" s="4">
        <v>134</v>
      </c>
      <c r="Y22" s="16">
        <v>335000</v>
      </c>
      <c r="Z22" s="4">
        <v>5</v>
      </c>
      <c r="AA22" s="4">
        <v>34.5</v>
      </c>
      <c r="AB22" s="16">
        <v>187500</v>
      </c>
      <c r="AC22" s="4">
        <v>4</v>
      </c>
      <c r="AD22" s="4">
        <v>28</v>
      </c>
      <c r="AE22" s="16">
        <v>42000</v>
      </c>
      <c r="AF22" s="4">
        <v>3</v>
      </c>
      <c r="AG22" s="4">
        <v>354.49</v>
      </c>
      <c r="AH22" s="16">
        <v>531735</v>
      </c>
      <c r="AI22" s="4">
        <v>2</v>
      </c>
      <c r="AJ22" s="4">
        <v>0</v>
      </c>
      <c r="AK22" s="16">
        <v>0</v>
      </c>
      <c r="AL22" s="28">
        <v>0</v>
      </c>
      <c r="AM22" s="4"/>
      <c r="AN22" s="2" t="s">
        <v>26</v>
      </c>
      <c r="AO22" s="4">
        <v>2022</v>
      </c>
      <c r="AP22" s="4">
        <v>0</v>
      </c>
      <c r="AQ22" s="16">
        <v>0</v>
      </c>
      <c r="AR22" s="4">
        <v>0</v>
      </c>
      <c r="AS22" s="4"/>
      <c r="AT22" s="16"/>
      <c r="AU22" s="4">
        <v>0</v>
      </c>
      <c r="AV22" s="4">
        <v>0</v>
      </c>
      <c r="AW22" s="16">
        <v>0</v>
      </c>
      <c r="AX22" s="4">
        <v>0</v>
      </c>
      <c r="AY22" s="4">
        <v>0</v>
      </c>
      <c r="AZ22" s="16">
        <v>0</v>
      </c>
      <c r="BA22" s="4">
        <v>0</v>
      </c>
      <c r="BB22" s="4">
        <v>0</v>
      </c>
      <c r="BC22" s="16">
        <v>0</v>
      </c>
      <c r="BD22" s="4">
        <v>0</v>
      </c>
      <c r="BE22" s="4"/>
      <c r="BF22" s="4">
        <f t="shared" si="0"/>
        <v>275</v>
      </c>
      <c r="BG22" s="16">
        <f t="shared" si="1"/>
        <v>742500</v>
      </c>
      <c r="BH22" s="4">
        <f t="shared" si="2"/>
        <v>8</v>
      </c>
      <c r="BI22" s="4">
        <f t="shared" si="3"/>
        <v>99.5</v>
      </c>
      <c r="BJ22" s="16">
        <f t="shared" si="4"/>
        <v>512500</v>
      </c>
      <c r="BK22" s="4">
        <f t="shared" si="5"/>
        <v>8</v>
      </c>
      <c r="BL22" s="4">
        <f t="shared" si="6"/>
        <v>80</v>
      </c>
      <c r="BM22" s="16">
        <f t="shared" si="7"/>
        <v>120000</v>
      </c>
      <c r="BN22" s="4">
        <f t="shared" si="8"/>
        <v>9</v>
      </c>
      <c r="BO22" s="4">
        <f t="shared" si="9"/>
        <v>1063.47</v>
      </c>
      <c r="BP22" s="16">
        <f t="shared" si="10"/>
        <v>1595205</v>
      </c>
      <c r="BQ22" s="4">
        <f t="shared" si="11"/>
        <v>6</v>
      </c>
      <c r="BR22" s="4">
        <f t="shared" si="12"/>
        <v>2</v>
      </c>
      <c r="BS22" s="16">
        <f t="shared" si="13"/>
        <v>182142.86</v>
      </c>
      <c r="BT22" s="4">
        <f t="shared" si="14"/>
        <v>2</v>
      </c>
      <c r="BU22" s="4">
        <f t="shared" si="15"/>
        <v>1517.97</v>
      </c>
      <c r="BV22" s="16">
        <f t="shared" si="16"/>
        <v>3152347.86</v>
      </c>
      <c r="BW22" s="4">
        <f t="shared" si="17"/>
        <v>33</v>
      </c>
    </row>
    <row r="23" spans="1:75" x14ac:dyDescent="0.25">
      <c r="A23" s="2" t="s">
        <v>26</v>
      </c>
      <c r="B23" s="4">
        <v>2020</v>
      </c>
      <c r="C23" s="4">
        <v>0</v>
      </c>
      <c r="D23" s="4" t="str">
        <f t="shared" si="18"/>
        <v>$0.00</v>
      </c>
      <c r="E23" s="16">
        <v>0</v>
      </c>
      <c r="F23" s="4">
        <v>0</v>
      </c>
      <c r="G23" s="4">
        <v>1.6</v>
      </c>
      <c r="H23" s="4" t="str">
        <f t="shared" si="19"/>
        <v>$8,000.00</v>
      </c>
      <c r="I23" s="16">
        <v>8000</v>
      </c>
      <c r="J23" s="4">
        <v>1</v>
      </c>
      <c r="K23" s="4">
        <v>0</v>
      </c>
      <c r="L23" s="4" t="str">
        <f t="shared" si="20"/>
        <v>$0.00</v>
      </c>
      <c r="M23" s="16">
        <v>0</v>
      </c>
      <c r="N23" s="4">
        <v>0</v>
      </c>
      <c r="O23" s="4">
        <v>0</v>
      </c>
      <c r="P23" s="4" t="str">
        <f t="shared" si="21"/>
        <v>$0.00</v>
      </c>
      <c r="Q23" s="16">
        <v>0</v>
      </c>
      <c r="R23" s="4">
        <v>0</v>
      </c>
      <c r="S23" s="4">
        <v>0</v>
      </c>
      <c r="T23" s="16">
        <v>0</v>
      </c>
      <c r="U23" s="4">
        <v>0</v>
      </c>
      <c r="V23" s="4" t="s">
        <v>28</v>
      </c>
      <c r="W23" s="4">
        <v>2021</v>
      </c>
      <c r="X23" s="4">
        <v>70</v>
      </c>
      <c r="Y23" s="16">
        <v>175000</v>
      </c>
      <c r="Z23" s="4">
        <v>2</v>
      </c>
      <c r="AA23" s="4">
        <v>20</v>
      </c>
      <c r="AB23" s="16">
        <v>100000</v>
      </c>
      <c r="AC23" s="4">
        <v>1</v>
      </c>
      <c r="AD23" s="4">
        <v>74</v>
      </c>
      <c r="AE23" s="16">
        <v>111000</v>
      </c>
      <c r="AF23" s="4">
        <v>8</v>
      </c>
      <c r="AG23" s="4">
        <v>2092.75</v>
      </c>
      <c r="AH23" s="16">
        <v>3139125</v>
      </c>
      <c r="AI23" s="4">
        <v>17</v>
      </c>
      <c r="AJ23" s="4">
        <v>8</v>
      </c>
      <c r="AK23" s="16">
        <v>365000</v>
      </c>
      <c r="AL23" s="28">
        <v>8</v>
      </c>
      <c r="AM23" s="4"/>
      <c r="AN23" s="2" t="s">
        <v>27</v>
      </c>
      <c r="AO23" s="4">
        <v>2022</v>
      </c>
      <c r="AP23" s="4">
        <v>86</v>
      </c>
      <c r="AQ23" s="16">
        <v>215000</v>
      </c>
      <c r="AR23" s="4">
        <v>1</v>
      </c>
      <c r="AS23" s="4"/>
      <c r="AT23" s="16"/>
      <c r="AU23" s="4">
        <v>0</v>
      </c>
      <c r="AV23" s="4">
        <v>30</v>
      </c>
      <c r="AW23" s="16">
        <v>45000</v>
      </c>
      <c r="AX23" s="4">
        <v>3</v>
      </c>
      <c r="AY23" s="4">
        <v>354.49</v>
      </c>
      <c r="AZ23" s="16">
        <v>531735</v>
      </c>
      <c r="BA23" s="4">
        <v>2</v>
      </c>
      <c r="BB23" s="4">
        <v>0</v>
      </c>
      <c r="BC23" s="16">
        <v>0</v>
      </c>
      <c r="BD23" s="4">
        <v>0</v>
      </c>
      <c r="BE23" s="4"/>
      <c r="BF23" s="4">
        <f t="shared" si="0"/>
        <v>171.8</v>
      </c>
      <c r="BG23" s="16">
        <f t="shared" si="1"/>
        <v>496750</v>
      </c>
      <c r="BH23" s="4">
        <f t="shared" si="2"/>
        <v>5</v>
      </c>
      <c r="BI23" s="4">
        <f t="shared" si="3"/>
        <v>31</v>
      </c>
      <c r="BJ23" s="16">
        <f t="shared" si="4"/>
        <v>155000</v>
      </c>
      <c r="BK23" s="4">
        <f t="shared" si="5"/>
        <v>3</v>
      </c>
      <c r="BL23" s="4">
        <f t="shared" si="6"/>
        <v>222</v>
      </c>
      <c r="BM23" s="16">
        <f t="shared" si="7"/>
        <v>333000</v>
      </c>
      <c r="BN23" s="4">
        <f t="shared" si="8"/>
        <v>23</v>
      </c>
      <c r="BO23" s="4">
        <f t="shared" si="9"/>
        <v>5954.35</v>
      </c>
      <c r="BP23" s="16">
        <f t="shared" si="10"/>
        <v>8931525</v>
      </c>
      <c r="BQ23" s="4">
        <f t="shared" si="11"/>
        <v>42</v>
      </c>
      <c r="BR23" s="4">
        <f t="shared" si="12"/>
        <v>19</v>
      </c>
      <c r="BS23" s="16">
        <f t="shared" si="13"/>
        <v>1030000</v>
      </c>
      <c r="BT23" s="4">
        <f t="shared" si="14"/>
        <v>19</v>
      </c>
      <c r="BU23" s="4">
        <f t="shared" si="15"/>
        <v>6379.1500000000005</v>
      </c>
      <c r="BV23" s="16">
        <f t="shared" si="16"/>
        <v>10946275</v>
      </c>
      <c r="BW23" s="4">
        <f t="shared" si="17"/>
        <v>92</v>
      </c>
    </row>
    <row r="24" spans="1:75" x14ac:dyDescent="0.25">
      <c r="A24" s="2" t="s">
        <v>27</v>
      </c>
      <c r="B24" s="4">
        <v>2020</v>
      </c>
      <c r="C24" s="4">
        <v>55</v>
      </c>
      <c r="D24" s="4" t="str">
        <f t="shared" si="18"/>
        <v>$192,500.00</v>
      </c>
      <c r="E24" s="16">
        <v>192500</v>
      </c>
      <c r="F24" s="4">
        <v>2</v>
      </c>
      <c r="G24" s="4">
        <v>65</v>
      </c>
      <c r="H24" s="4" t="str">
        <f t="shared" si="19"/>
        <v>$325,000.00</v>
      </c>
      <c r="I24" s="16">
        <v>325000</v>
      </c>
      <c r="J24" s="4">
        <v>4</v>
      </c>
      <c r="K24" s="4">
        <v>22</v>
      </c>
      <c r="L24" s="4" t="str">
        <f t="shared" si="20"/>
        <v>$33,000.00</v>
      </c>
      <c r="M24" s="16">
        <v>33000</v>
      </c>
      <c r="N24" s="4">
        <v>3</v>
      </c>
      <c r="O24" s="4">
        <v>354.49</v>
      </c>
      <c r="P24" s="4" t="str">
        <f t="shared" si="21"/>
        <v>$531,735.00</v>
      </c>
      <c r="Q24" s="16">
        <v>531735</v>
      </c>
      <c r="R24" s="4">
        <v>2</v>
      </c>
      <c r="S24" s="4">
        <v>2</v>
      </c>
      <c r="T24" s="16">
        <v>182142.86</v>
      </c>
      <c r="U24" s="4">
        <v>2</v>
      </c>
      <c r="V24" s="4" t="s">
        <v>29</v>
      </c>
      <c r="W24" s="4">
        <v>2021</v>
      </c>
      <c r="X24" s="4">
        <v>0</v>
      </c>
      <c r="Y24" s="16">
        <v>0</v>
      </c>
      <c r="Z24" s="4">
        <v>0</v>
      </c>
      <c r="AA24" s="4">
        <v>0</v>
      </c>
      <c r="AB24" s="16">
        <v>0</v>
      </c>
      <c r="AC24" s="4">
        <v>0</v>
      </c>
      <c r="AD24" s="4">
        <v>0</v>
      </c>
      <c r="AE24" s="16">
        <v>0</v>
      </c>
      <c r="AF24" s="4">
        <v>0</v>
      </c>
      <c r="AG24" s="4">
        <v>0</v>
      </c>
      <c r="AH24" s="16">
        <v>0</v>
      </c>
      <c r="AI24" s="4">
        <v>0</v>
      </c>
      <c r="AJ24" s="4">
        <v>0</v>
      </c>
      <c r="AK24" s="16">
        <v>0</v>
      </c>
      <c r="AL24" s="28">
        <v>0</v>
      </c>
      <c r="AM24" s="4"/>
      <c r="AN24" s="2" t="s">
        <v>28</v>
      </c>
      <c r="AO24" s="4">
        <v>2022</v>
      </c>
      <c r="AP24" s="4">
        <v>14.3</v>
      </c>
      <c r="AQ24" s="16">
        <v>35750</v>
      </c>
      <c r="AR24" s="4">
        <v>1</v>
      </c>
      <c r="AS24" s="4">
        <v>1</v>
      </c>
      <c r="AT24" s="16">
        <v>5000</v>
      </c>
      <c r="AU24" s="4">
        <v>1</v>
      </c>
      <c r="AV24" s="4">
        <v>77</v>
      </c>
      <c r="AW24" s="16">
        <v>115500</v>
      </c>
      <c r="AX24" s="4">
        <v>8</v>
      </c>
      <c r="AY24" s="4">
        <v>2291.75</v>
      </c>
      <c r="AZ24" s="16">
        <v>3437625</v>
      </c>
      <c r="BA24" s="4">
        <v>15</v>
      </c>
      <c r="BB24" s="4">
        <v>7</v>
      </c>
      <c r="BC24" s="16">
        <v>405000</v>
      </c>
      <c r="BD24" s="4">
        <v>7</v>
      </c>
      <c r="BE24" s="4"/>
      <c r="BF24" s="4">
        <f t="shared" si="0"/>
        <v>0</v>
      </c>
      <c r="BG24" s="16">
        <f t="shared" si="1"/>
        <v>0</v>
      </c>
      <c r="BH24" s="4">
        <f t="shared" si="2"/>
        <v>0</v>
      </c>
      <c r="BI24" s="4">
        <f t="shared" si="3"/>
        <v>0</v>
      </c>
      <c r="BJ24" s="16">
        <f t="shared" si="4"/>
        <v>0</v>
      </c>
      <c r="BK24" s="4">
        <f t="shared" si="5"/>
        <v>0</v>
      </c>
      <c r="BL24" s="4">
        <f t="shared" si="6"/>
        <v>0</v>
      </c>
      <c r="BM24" s="16">
        <f t="shared" si="7"/>
        <v>0</v>
      </c>
      <c r="BN24" s="4">
        <f t="shared" si="8"/>
        <v>0</v>
      </c>
      <c r="BO24" s="4">
        <f t="shared" si="9"/>
        <v>0</v>
      </c>
      <c r="BP24" s="16">
        <f t="shared" si="10"/>
        <v>0</v>
      </c>
      <c r="BQ24" s="4">
        <f t="shared" si="11"/>
        <v>0</v>
      </c>
      <c r="BR24" s="4">
        <f t="shared" si="12"/>
        <v>0</v>
      </c>
      <c r="BS24" s="16">
        <f t="shared" si="13"/>
        <v>0</v>
      </c>
      <c r="BT24" s="4">
        <f t="shared" si="14"/>
        <v>0</v>
      </c>
      <c r="BU24" s="4">
        <f t="shared" si="15"/>
        <v>0</v>
      </c>
      <c r="BV24" s="16">
        <f t="shared" si="16"/>
        <v>0</v>
      </c>
      <c r="BW24" s="4">
        <f t="shared" si="17"/>
        <v>0</v>
      </c>
    </row>
    <row r="25" spans="1:75" x14ac:dyDescent="0.25">
      <c r="A25" s="2" t="s">
        <v>28</v>
      </c>
      <c r="B25" s="4">
        <v>2020</v>
      </c>
      <c r="C25" s="4">
        <v>87.5</v>
      </c>
      <c r="D25" s="4" t="str">
        <f t="shared" si="18"/>
        <v>$286,000.00</v>
      </c>
      <c r="E25" s="16">
        <v>286000</v>
      </c>
      <c r="F25" s="4">
        <v>2</v>
      </c>
      <c r="G25" s="4">
        <v>10</v>
      </c>
      <c r="H25" s="4" t="str">
        <f t="shared" si="19"/>
        <v>$50,000.00</v>
      </c>
      <c r="I25" s="16">
        <v>50000</v>
      </c>
      <c r="J25" s="4">
        <v>1</v>
      </c>
      <c r="K25" s="4">
        <v>71</v>
      </c>
      <c r="L25" s="4" t="str">
        <f t="shared" si="20"/>
        <v>$106,500.00</v>
      </c>
      <c r="M25" s="16">
        <v>106500</v>
      </c>
      <c r="N25" s="4">
        <v>7</v>
      </c>
      <c r="O25" s="4">
        <v>1569.85</v>
      </c>
      <c r="P25" s="4" t="str">
        <f t="shared" si="21"/>
        <v>$2,354,775.00</v>
      </c>
      <c r="Q25" s="16">
        <v>2354775</v>
      </c>
      <c r="R25" s="4">
        <v>10</v>
      </c>
      <c r="S25" s="4">
        <v>4</v>
      </c>
      <c r="T25" s="16">
        <v>260000</v>
      </c>
      <c r="U25" s="4">
        <v>4</v>
      </c>
      <c r="V25" s="4" t="s">
        <v>30</v>
      </c>
      <c r="W25" s="4">
        <v>2021</v>
      </c>
      <c r="X25" s="4">
        <v>0</v>
      </c>
      <c r="Y25" s="16">
        <v>0</v>
      </c>
      <c r="Z25" s="4">
        <v>0</v>
      </c>
      <c r="AA25" s="4">
        <v>1</v>
      </c>
      <c r="AB25" s="16">
        <v>20000</v>
      </c>
      <c r="AC25" s="4">
        <v>1</v>
      </c>
      <c r="AD25" s="4">
        <v>0</v>
      </c>
      <c r="AE25" s="16">
        <v>0</v>
      </c>
      <c r="AF25" s="4">
        <v>0</v>
      </c>
      <c r="AG25" s="4">
        <v>0</v>
      </c>
      <c r="AH25" s="16">
        <v>0</v>
      </c>
      <c r="AI25" s="4">
        <v>0</v>
      </c>
      <c r="AJ25" s="4">
        <v>0</v>
      </c>
      <c r="AK25" s="16">
        <v>0</v>
      </c>
      <c r="AL25" s="28">
        <v>0</v>
      </c>
      <c r="AM25" s="4"/>
      <c r="AN25" s="2" t="s">
        <v>29</v>
      </c>
      <c r="AO25" s="4">
        <v>2022</v>
      </c>
      <c r="AP25" s="4">
        <v>0</v>
      </c>
      <c r="AQ25" s="16">
        <v>0</v>
      </c>
      <c r="AR25" s="4">
        <v>0</v>
      </c>
      <c r="AS25" s="4"/>
      <c r="AT25" s="16"/>
      <c r="AU25" s="4">
        <v>0</v>
      </c>
      <c r="AV25" s="4">
        <v>0</v>
      </c>
      <c r="AW25" s="16">
        <v>0</v>
      </c>
      <c r="AX25" s="4">
        <v>0</v>
      </c>
      <c r="AY25" s="4">
        <v>0</v>
      </c>
      <c r="AZ25" s="16">
        <v>0</v>
      </c>
      <c r="BA25" s="4">
        <v>0</v>
      </c>
      <c r="BB25" s="4">
        <v>0</v>
      </c>
      <c r="BC25" s="16">
        <v>0</v>
      </c>
      <c r="BD25" s="4">
        <v>0</v>
      </c>
      <c r="BE25" s="4"/>
      <c r="BF25" s="4">
        <f t="shared" si="0"/>
        <v>0</v>
      </c>
      <c r="BG25" s="16">
        <f t="shared" si="1"/>
        <v>0</v>
      </c>
      <c r="BH25" s="4">
        <f t="shared" si="2"/>
        <v>0</v>
      </c>
      <c r="BI25" s="4">
        <f t="shared" si="3"/>
        <v>1</v>
      </c>
      <c r="BJ25" s="16">
        <f t="shared" si="4"/>
        <v>20000</v>
      </c>
      <c r="BK25" s="4">
        <f t="shared" si="5"/>
        <v>1</v>
      </c>
      <c r="BL25" s="4">
        <f t="shared" si="6"/>
        <v>0</v>
      </c>
      <c r="BM25" s="16">
        <f t="shared" si="7"/>
        <v>0</v>
      </c>
      <c r="BN25" s="4">
        <f t="shared" si="8"/>
        <v>0</v>
      </c>
      <c r="BO25" s="4">
        <f t="shared" si="9"/>
        <v>0</v>
      </c>
      <c r="BP25" s="16">
        <f t="shared" si="10"/>
        <v>0</v>
      </c>
      <c r="BQ25" s="4">
        <f t="shared" si="11"/>
        <v>0</v>
      </c>
      <c r="BR25" s="4">
        <f t="shared" si="12"/>
        <v>0</v>
      </c>
      <c r="BS25" s="16">
        <f t="shared" si="13"/>
        <v>0</v>
      </c>
      <c r="BT25" s="4">
        <f t="shared" si="14"/>
        <v>0</v>
      </c>
      <c r="BU25" s="4">
        <f t="shared" si="15"/>
        <v>1</v>
      </c>
      <c r="BV25" s="16">
        <f t="shared" si="16"/>
        <v>20000</v>
      </c>
      <c r="BW25" s="4">
        <f t="shared" si="17"/>
        <v>1</v>
      </c>
    </row>
    <row r="26" spans="1:75" x14ac:dyDescent="0.25">
      <c r="A26" s="2" t="s">
        <v>29</v>
      </c>
      <c r="B26" s="4">
        <v>2020</v>
      </c>
      <c r="C26" s="4">
        <v>0</v>
      </c>
      <c r="D26" s="4" t="str">
        <f t="shared" si="18"/>
        <v>$0.00</v>
      </c>
      <c r="E26" s="16">
        <v>0</v>
      </c>
      <c r="F26" s="4">
        <v>0</v>
      </c>
      <c r="G26" s="4">
        <v>0</v>
      </c>
      <c r="H26" s="4" t="str">
        <f t="shared" si="19"/>
        <v>$0.00</v>
      </c>
      <c r="I26" s="16">
        <v>0</v>
      </c>
      <c r="J26" s="4">
        <v>0</v>
      </c>
      <c r="K26" s="4">
        <v>0</v>
      </c>
      <c r="L26" s="4" t="str">
        <f t="shared" si="20"/>
        <v>$0.00</v>
      </c>
      <c r="M26" s="16">
        <v>0</v>
      </c>
      <c r="N26" s="4">
        <v>0</v>
      </c>
      <c r="O26" s="4">
        <v>0</v>
      </c>
      <c r="P26" s="4" t="str">
        <f t="shared" si="21"/>
        <v>$0.00</v>
      </c>
      <c r="Q26" s="16">
        <v>0</v>
      </c>
      <c r="R26" s="4">
        <v>0</v>
      </c>
      <c r="S26" s="4">
        <v>0</v>
      </c>
      <c r="T26" s="16">
        <v>0</v>
      </c>
      <c r="U26" s="4">
        <v>0</v>
      </c>
      <c r="V26" s="4" t="s">
        <v>31</v>
      </c>
      <c r="W26" s="4">
        <v>2021</v>
      </c>
      <c r="X26" s="4">
        <v>0</v>
      </c>
      <c r="Y26" s="16">
        <v>0</v>
      </c>
      <c r="Z26" s="4">
        <v>0</v>
      </c>
      <c r="AA26" s="4">
        <v>0</v>
      </c>
      <c r="AB26" s="16">
        <v>0</v>
      </c>
      <c r="AC26" s="4">
        <v>0</v>
      </c>
      <c r="AD26" s="4">
        <v>0</v>
      </c>
      <c r="AE26" s="16">
        <v>0</v>
      </c>
      <c r="AF26" s="4">
        <v>0</v>
      </c>
      <c r="AG26" s="4">
        <v>0</v>
      </c>
      <c r="AH26" s="16">
        <v>0</v>
      </c>
      <c r="AI26" s="4">
        <v>0</v>
      </c>
      <c r="AJ26" s="4">
        <v>0</v>
      </c>
      <c r="AK26" s="16">
        <v>0</v>
      </c>
      <c r="AL26" s="28">
        <v>0</v>
      </c>
      <c r="AM26" s="4"/>
      <c r="AN26" s="2" t="s">
        <v>30</v>
      </c>
      <c r="AO26" s="4">
        <v>2022</v>
      </c>
      <c r="AP26" s="4">
        <v>0</v>
      </c>
      <c r="AQ26" s="16">
        <v>0</v>
      </c>
      <c r="AR26" s="4">
        <v>0</v>
      </c>
      <c r="AS26" s="4"/>
      <c r="AT26" s="16"/>
      <c r="AU26" s="4">
        <v>0</v>
      </c>
      <c r="AV26" s="4">
        <v>0</v>
      </c>
      <c r="AW26" s="16">
        <v>0</v>
      </c>
      <c r="AX26" s="4">
        <v>0</v>
      </c>
      <c r="AY26" s="4">
        <v>0</v>
      </c>
      <c r="AZ26" s="16">
        <v>0</v>
      </c>
      <c r="BA26" s="4">
        <v>0</v>
      </c>
      <c r="BB26" s="4">
        <v>0</v>
      </c>
      <c r="BC26" s="16">
        <v>0</v>
      </c>
      <c r="BD26" s="4">
        <v>0</v>
      </c>
      <c r="BE26" s="4"/>
      <c r="BF26" s="4">
        <f t="shared" si="0"/>
        <v>0</v>
      </c>
      <c r="BG26" s="16">
        <f t="shared" si="1"/>
        <v>0</v>
      </c>
      <c r="BH26" s="4">
        <f t="shared" si="2"/>
        <v>0</v>
      </c>
      <c r="BI26" s="4">
        <f t="shared" si="3"/>
        <v>0</v>
      </c>
      <c r="BJ26" s="16">
        <f t="shared" si="4"/>
        <v>0</v>
      </c>
      <c r="BK26" s="4">
        <f t="shared" si="5"/>
        <v>0</v>
      </c>
      <c r="BL26" s="4">
        <f t="shared" si="6"/>
        <v>0</v>
      </c>
      <c r="BM26" s="16">
        <f t="shared" si="7"/>
        <v>0</v>
      </c>
      <c r="BN26" s="4">
        <f t="shared" si="8"/>
        <v>0</v>
      </c>
      <c r="BO26" s="4">
        <f t="shared" si="9"/>
        <v>0</v>
      </c>
      <c r="BP26" s="16">
        <f t="shared" si="10"/>
        <v>0</v>
      </c>
      <c r="BQ26" s="4">
        <f t="shared" si="11"/>
        <v>0</v>
      </c>
      <c r="BR26" s="4">
        <f t="shared" si="12"/>
        <v>0</v>
      </c>
      <c r="BS26" s="16">
        <f t="shared" si="13"/>
        <v>0</v>
      </c>
      <c r="BT26" s="4">
        <f t="shared" si="14"/>
        <v>0</v>
      </c>
      <c r="BU26" s="4">
        <f t="shared" si="15"/>
        <v>0</v>
      </c>
      <c r="BV26" s="16">
        <f t="shared" si="16"/>
        <v>0</v>
      </c>
      <c r="BW26" s="4">
        <f t="shared" si="17"/>
        <v>0</v>
      </c>
    </row>
    <row r="27" spans="1:75" x14ac:dyDescent="0.25">
      <c r="A27" s="2" t="s">
        <v>30</v>
      </c>
      <c r="B27" s="4">
        <v>2020</v>
      </c>
      <c r="C27" s="4">
        <v>0</v>
      </c>
      <c r="D27" s="4" t="str">
        <f t="shared" si="18"/>
        <v>$0.00</v>
      </c>
      <c r="E27" s="16">
        <v>0</v>
      </c>
      <c r="F27" s="4">
        <v>0</v>
      </c>
      <c r="G27" s="4">
        <v>0</v>
      </c>
      <c r="H27" s="4" t="str">
        <f t="shared" si="19"/>
        <v>$0.00</v>
      </c>
      <c r="I27" s="16">
        <v>0</v>
      </c>
      <c r="J27" s="4">
        <v>0</v>
      </c>
      <c r="K27" s="4">
        <v>0</v>
      </c>
      <c r="L27" s="4" t="str">
        <f t="shared" si="20"/>
        <v>$0.00</v>
      </c>
      <c r="M27" s="16">
        <v>0</v>
      </c>
      <c r="N27" s="4">
        <v>0</v>
      </c>
      <c r="O27" s="4">
        <v>0</v>
      </c>
      <c r="P27" s="4" t="str">
        <f t="shared" si="21"/>
        <v>$0.00</v>
      </c>
      <c r="Q27" s="16">
        <v>0</v>
      </c>
      <c r="R27" s="4">
        <v>0</v>
      </c>
      <c r="S27" s="4">
        <v>0</v>
      </c>
      <c r="T27" s="16">
        <v>0</v>
      </c>
      <c r="U27" s="4">
        <v>0</v>
      </c>
      <c r="V27" s="4" t="s">
        <v>32</v>
      </c>
      <c r="W27" s="4">
        <v>2021</v>
      </c>
      <c r="X27" s="4">
        <v>0</v>
      </c>
      <c r="Y27" s="16">
        <v>0</v>
      </c>
      <c r="Z27" s="4">
        <v>0</v>
      </c>
      <c r="AA27" s="4">
        <v>0</v>
      </c>
      <c r="AB27" s="16">
        <v>0</v>
      </c>
      <c r="AC27" s="4">
        <v>0</v>
      </c>
      <c r="AD27" s="4">
        <v>0</v>
      </c>
      <c r="AE27" s="16">
        <v>0</v>
      </c>
      <c r="AF27" s="4">
        <v>0</v>
      </c>
      <c r="AG27" s="4">
        <v>0</v>
      </c>
      <c r="AH27" s="16">
        <v>0</v>
      </c>
      <c r="AI27" s="4">
        <v>0</v>
      </c>
      <c r="AJ27" s="4">
        <v>0</v>
      </c>
      <c r="AK27" s="16">
        <v>0</v>
      </c>
      <c r="AL27" s="28">
        <v>0</v>
      </c>
      <c r="AM27" s="4"/>
      <c r="AN27" s="2" t="s">
        <v>31</v>
      </c>
      <c r="AO27" s="4">
        <v>2022</v>
      </c>
      <c r="AP27" s="4">
        <v>0</v>
      </c>
      <c r="AQ27" s="16">
        <v>0</v>
      </c>
      <c r="AR27" s="4">
        <v>0</v>
      </c>
      <c r="AS27" s="4"/>
      <c r="AT27" s="16"/>
      <c r="AU27" s="4">
        <v>0</v>
      </c>
      <c r="AV27" s="4">
        <v>0</v>
      </c>
      <c r="AW27" s="16">
        <v>0</v>
      </c>
      <c r="AX27" s="4">
        <v>0</v>
      </c>
      <c r="AY27" s="4">
        <v>0</v>
      </c>
      <c r="AZ27" s="16">
        <v>0</v>
      </c>
      <c r="BA27" s="4">
        <v>0</v>
      </c>
      <c r="BB27" s="4">
        <v>0</v>
      </c>
      <c r="BC27" s="16">
        <v>0</v>
      </c>
      <c r="BD27" s="4">
        <v>0</v>
      </c>
      <c r="BE27" s="4"/>
      <c r="BF27" s="4">
        <f t="shared" si="0"/>
        <v>0</v>
      </c>
      <c r="BG27" s="16">
        <f t="shared" si="1"/>
        <v>0</v>
      </c>
      <c r="BH27" s="4">
        <f t="shared" si="2"/>
        <v>0</v>
      </c>
      <c r="BI27" s="4">
        <f t="shared" si="3"/>
        <v>0</v>
      </c>
      <c r="BJ27" s="16">
        <f t="shared" si="4"/>
        <v>0</v>
      </c>
      <c r="BK27" s="4">
        <f t="shared" si="5"/>
        <v>0</v>
      </c>
      <c r="BL27" s="4">
        <f t="shared" si="6"/>
        <v>0</v>
      </c>
      <c r="BM27" s="16">
        <f t="shared" si="7"/>
        <v>0</v>
      </c>
      <c r="BN27" s="4">
        <f t="shared" si="8"/>
        <v>0</v>
      </c>
      <c r="BO27" s="4">
        <f t="shared" si="9"/>
        <v>0</v>
      </c>
      <c r="BP27" s="16">
        <f t="shared" si="10"/>
        <v>0</v>
      </c>
      <c r="BQ27" s="4">
        <f t="shared" si="11"/>
        <v>0</v>
      </c>
      <c r="BR27" s="4">
        <f t="shared" si="12"/>
        <v>0</v>
      </c>
      <c r="BS27" s="16">
        <f t="shared" si="13"/>
        <v>0</v>
      </c>
      <c r="BT27" s="4">
        <f t="shared" si="14"/>
        <v>0</v>
      </c>
      <c r="BU27" s="4">
        <f t="shared" si="15"/>
        <v>0</v>
      </c>
      <c r="BV27" s="16">
        <f t="shared" si="16"/>
        <v>0</v>
      </c>
      <c r="BW27" s="4">
        <f t="shared" si="17"/>
        <v>0</v>
      </c>
    </row>
    <row r="28" spans="1:75" x14ac:dyDescent="0.25">
      <c r="A28" s="2" t="s">
        <v>31</v>
      </c>
      <c r="B28" s="4">
        <v>2020</v>
      </c>
      <c r="C28" s="4">
        <v>0</v>
      </c>
      <c r="D28" s="4" t="str">
        <f t="shared" si="18"/>
        <v>$0.00</v>
      </c>
      <c r="E28" s="16">
        <v>0</v>
      </c>
      <c r="F28" s="4">
        <v>0</v>
      </c>
      <c r="G28" s="4">
        <v>0</v>
      </c>
      <c r="H28" s="4" t="str">
        <f t="shared" si="19"/>
        <v>$0.00</v>
      </c>
      <c r="I28" s="16">
        <v>0</v>
      </c>
      <c r="J28" s="4">
        <v>0</v>
      </c>
      <c r="K28" s="4">
        <v>0</v>
      </c>
      <c r="L28" s="4" t="str">
        <f t="shared" si="20"/>
        <v>$0.00</v>
      </c>
      <c r="M28" s="16">
        <v>0</v>
      </c>
      <c r="N28" s="4">
        <v>0</v>
      </c>
      <c r="O28" s="4">
        <v>0</v>
      </c>
      <c r="P28" s="4" t="str">
        <f t="shared" si="21"/>
        <v>$0.00</v>
      </c>
      <c r="Q28" s="16">
        <v>0</v>
      </c>
      <c r="R28" s="4">
        <v>0</v>
      </c>
      <c r="S28" s="4">
        <v>0</v>
      </c>
      <c r="T28" s="16">
        <v>0</v>
      </c>
      <c r="U28" s="4">
        <v>0</v>
      </c>
      <c r="V28" s="4" t="s">
        <v>123</v>
      </c>
      <c r="W28" s="4">
        <v>2021</v>
      </c>
      <c r="X28" s="4">
        <v>0</v>
      </c>
      <c r="Y28" s="16">
        <v>0</v>
      </c>
      <c r="Z28" s="4">
        <v>0</v>
      </c>
      <c r="AA28" s="4">
        <v>0</v>
      </c>
      <c r="AB28" s="16">
        <v>0</v>
      </c>
      <c r="AC28" s="4">
        <v>0</v>
      </c>
      <c r="AD28" s="4">
        <v>0</v>
      </c>
      <c r="AE28" s="16">
        <v>0</v>
      </c>
      <c r="AF28" s="4">
        <v>0</v>
      </c>
      <c r="AG28" s="4">
        <v>0</v>
      </c>
      <c r="AH28" s="16">
        <v>0</v>
      </c>
      <c r="AI28" s="4">
        <v>0</v>
      </c>
      <c r="AJ28" s="4">
        <v>0</v>
      </c>
      <c r="AK28" s="16">
        <v>0</v>
      </c>
      <c r="AL28" s="28">
        <v>0</v>
      </c>
      <c r="AM28" s="4"/>
      <c r="AN28" s="2" t="s">
        <v>32</v>
      </c>
      <c r="AO28" s="4">
        <v>2022</v>
      </c>
      <c r="AP28" s="4">
        <v>0</v>
      </c>
      <c r="AQ28" s="16">
        <v>0</v>
      </c>
      <c r="AR28" s="4">
        <v>0</v>
      </c>
      <c r="AS28" s="4"/>
      <c r="AT28" s="16"/>
      <c r="AU28" s="4">
        <v>0</v>
      </c>
      <c r="AV28" s="4">
        <v>0</v>
      </c>
      <c r="AW28" s="16">
        <v>0</v>
      </c>
      <c r="AX28" s="4">
        <v>0</v>
      </c>
      <c r="AY28" s="4">
        <v>0</v>
      </c>
      <c r="AZ28" s="16">
        <v>0</v>
      </c>
      <c r="BA28" s="4">
        <v>0</v>
      </c>
      <c r="BB28" s="4">
        <v>0</v>
      </c>
      <c r="BC28" s="16">
        <v>0</v>
      </c>
      <c r="BD28" s="4">
        <v>0</v>
      </c>
      <c r="BE28" s="4"/>
      <c r="BF28" s="4">
        <f t="shared" si="0"/>
        <v>0</v>
      </c>
      <c r="BG28" s="16">
        <f t="shared" si="1"/>
        <v>0</v>
      </c>
      <c r="BH28" s="4">
        <f t="shared" si="2"/>
        <v>0</v>
      </c>
      <c r="BI28" s="4">
        <f t="shared" si="3"/>
        <v>0</v>
      </c>
      <c r="BJ28" s="16">
        <f t="shared" si="4"/>
        <v>0</v>
      </c>
      <c r="BK28" s="4">
        <f t="shared" si="5"/>
        <v>0</v>
      </c>
      <c r="BL28" s="4">
        <f t="shared" si="6"/>
        <v>0</v>
      </c>
      <c r="BM28" s="16">
        <f t="shared" si="7"/>
        <v>0</v>
      </c>
      <c r="BN28" s="4">
        <f t="shared" si="8"/>
        <v>0</v>
      </c>
      <c r="BO28" s="4">
        <f t="shared" si="9"/>
        <v>0</v>
      </c>
      <c r="BP28" s="16">
        <f t="shared" si="10"/>
        <v>0</v>
      </c>
      <c r="BQ28" s="4">
        <f t="shared" si="11"/>
        <v>0</v>
      </c>
      <c r="BR28" s="4">
        <f t="shared" si="12"/>
        <v>0</v>
      </c>
      <c r="BS28" s="16">
        <f t="shared" si="13"/>
        <v>0</v>
      </c>
      <c r="BT28" s="4">
        <f t="shared" si="14"/>
        <v>0</v>
      </c>
      <c r="BU28" s="4">
        <f t="shared" si="15"/>
        <v>0</v>
      </c>
      <c r="BV28" s="16">
        <f t="shared" si="16"/>
        <v>0</v>
      </c>
      <c r="BW28" s="4">
        <f t="shared" si="17"/>
        <v>0</v>
      </c>
    </row>
    <row r="29" spans="1:75" x14ac:dyDescent="0.25">
      <c r="A29" s="2" t="s">
        <v>32</v>
      </c>
      <c r="B29" s="4">
        <v>2020</v>
      </c>
      <c r="C29" s="4">
        <v>0</v>
      </c>
      <c r="D29" s="4" t="str">
        <f t="shared" si="18"/>
        <v>$0.00</v>
      </c>
      <c r="E29" s="16">
        <v>0</v>
      </c>
      <c r="F29" s="4">
        <v>0</v>
      </c>
      <c r="G29" s="4">
        <v>0</v>
      </c>
      <c r="H29" s="4" t="str">
        <f t="shared" si="19"/>
        <v>$0.00</v>
      </c>
      <c r="I29" s="16">
        <v>0</v>
      </c>
      <c r="J29" s="4">
        <v>0</v>
      </c>
      <c r="K29" s="4">
        <v>0</v>
      </c>
      <c r="L29" s="4" t="str">
        <f t="shared" si="20"/>
        <v>$0.00</v>
      </c>
      <c r="M29" s="16">
        <v>0</v>
      </c>
      <c r="N29" s="4">
        <v>0</v>
      </c>
      <c r="O29" s="4">
        <v>0</v>
      </c>
      <c r="P29" s="4" t="str">
        <f t="shared" si="21"/>
        <v>$0.00</v>
      </c>
      <c r="Q29" s="16">
        <v>0</v>
      </c>
      <c r="R29" s="4">
        <v>0</v>
      </c>
      <c r="S29" s="4">
        <v>0</v>
      </c>
      <c r="T29" s="16">
        <v>0</v>
      </c>
      <c r="U29" s="4">
        <v>0</v>
      </c>
      <c r="V29" s="4" t="s">
        <v>124</v>
      </c>
      <c r="W29" s="4">
        <v>2021</v>
      </c>
      <c r="X29" s="4">
        <v>0</v>
      </c>
      <c r="Y29" s="16">
        <v>0</v>
      </c>
      <c r="Z29" s="4">
        <v>0</v>
      </c>
      <c r="AA29" s="4">
        <v>0</v>
      </c>
      <c r="AB29" s="16">
        <v>0</v>
      </c>
      <c r="AC29" s="4">
        <v>0</v>
      </c>
      <c r="AD29" s="4">
        <v>0</v>
      </c>
      <c r="AE29" s="16">
        <v>0</v>
      </c>
      <c r="AF29" s="4">
        <v>0</v>
      </c>
      <c r="AG29" s="4">
        <v>0</v>
      </c>
      <c r="AH29" s="16">
        <v>0</v>
      </c>
      <c r="AI29" s="4">
        <v>0</v>
      </c>
      <c r="AJ29" s="4">
        <v>0</v>
      </c>
      <c r="AK29" s="16">
        <v>0</v>
      </c>
      <c r="AL29" s="28">
        <v>0</v>
      </c>
      <c r="AM29" s="4"/>
      <c r="AN29" s="2" t="s">
        <v>123</v>
      </c>
      <c r="AO29" s="4">
        <v>2022</v>
      </c>
      <c r="AP29" s="4">
        <v>0</v>
      </c>
      <c r="AQ29" s="16">
        <v>0</v>
      </c>
      <c r="AR29" s="4">
        <v>0</v>
      </c>
      <c r="AS29" s="4"/>
      <c r="AT29" s="16"/>
      <c r="AU29" s="4">
        <v>0</v>
      </c>
      <c r="AV29" s="4">
        <v>0</v>
      </c>
      <c r="AW29" s="16">
        <v>0</v>
      </c>
      <c r="AX29" s="4">
        <v>0</v>
      </c>
      <c r="AY29" s="4">
        <v>0</v>
      </c>
      <c r="AZ29" s="16">
        <v>0</v>
      </c>
      <c r="BA29" s="4">
        <v>0</v>
      </c>
      <c r="BB29" s="4">
        <v>0</v>
      </c>
      <c r="BC29" s="16">
        <v>0</v>
      </c>
      <c r="BD29" s="4">
        <v>0</v>
      </c>
      <c r="BE29" s="4"/>
      <c r="BF29" s="4">
        <f t="shared" si="0"/>
        <v>0</v>
      </c>
      <c r="BG29" s="16">
        <f t="shared" si="1"/>
        <v>0</v>
      </c>
      <c r="BH29" s="4">
        <f t="shared" si="2"/>
        <v>0</v>
      </c>
      <c r="BI29" s="4">
        <f t="shared" si="3"/>
        <v>0</v>
      </c>
      <c r="BJ29" s="16">
        <f t="shared" si="4"/>
        <v>0</v>
      </c>
      <c r="BK29" s="4">
        <f t="shared" si="5"/>
        <v>0</v>
      </c>
      <c r="BL29" s="4">
        <f t="shared" si="6"/>
        <v>0</v>
      </c>
      <c r="BM29" s="16">
        <f t="shared" si="7"/>
        <v>0</v>
      </c>
      <c r="BN29" s="4">
        <f t="shared" si="8"/>
        <v>0</v>
      </c>
      <c r="BO29" s="4">
        <f t="shared" si="9"/>
        <v>0</v>
      </c>
      <c r="BP29" s="16">
        <f t="shared" si="10"/>
        <v>0</v>
      </c>
      <c r="BQ29" s="4">
        <f t="shared" si="11"/>
        <v>0</v>
      </c>
      <c r="BR29" s="4">
        <f t="shared" si="12"/>
        <v>0</v>
      </c>
      <c r="BS29" s="16">
        <f t="shared" si="13"/>
        <v>0</v>
      </c>
      <c r="BT29" s="4">
        <f t="shared" si="14"/>
        <v>0</v>
      </c>
      <c r="BU29" s="4">
        <f t="shared" si="15"/>
        <v>0</v>
      </c>
      <c r="BV29" s="16">
        <f t="shared" si="16"/>
        <v>0</v>
      </c>
      <c r="BW29" s="4">
        <f t="shared" si="17"/>
        <v>0</v>
      </c>
    </row>
    <row r="30" spans="1:75" x14ac:dyDescent="0.25">
      <c r="A30" s="2" t="s">
        <v>123</v>
      </c>
      <c r="B30" s="4">
        <v>2020</v>
      </c>
      <c r="C30" s="4">
        <v>0</v>
      </c>
      <c r="D30" s="4" t="str">
        <f t="shared" si="18"/>
        <v>$0.00</v>
      </c>
      <c r="E30" s="16">
        <v>0</v>
      </c>
      <c r="F30" s="4">
        <v>0</v>
      </c>
      <c r="G30" s="4">
        <v>0</v>
      </c>
      <c r="H30" s="4" t="str">
        <f t="shared" si="19"/>
        <v>$0.00</v>
      </c>
      <c r="I30" s="16">
        <v>0</v>
      </c>
      <c r="J30" s="4">
        <v>0</v>
      </c>
      <c r="K30" s="4">
        <v>0</v>
      </c>
      <c r="L30" s="4" t="str">
        <f t="shared" si="20"/>
        <v>$0.00</v>
      </c>
      <c r="M30" s="16">
        <v>0</v>
      </c>
      <c r="N30" s="4">
        <v>0</v>
      </c>
      <c r="O30" s="4">
        <v>0</v>
      </c>
      <c r="P30" s="4" t="str">
        <f t="shared" si="21"/>
        <v>$0.00</v>
      </c>
      <c r="Q30" s="16">
        <v>0</v>
      </c>
      <c r="R30" s="4">
        <v>0</v>
      </c>
      <c r="S30" s="4">
        <v>0</v>
      </c>
      <c r="T30" s="16">
        <v>0</v>
      </c>
      <c r="U30" s="4">
        <v>0</v>
      </c>
      <c r="V30" s="4" t="s">
        <v>33</v>
      </c>
      <c r="W30" s="4">
        <v>2021</v>
      </c>
      <c r="X30" s="4">
        <v>68</v>
      </c>
      <c r="Y30" s="16">
        <v>170000</v>
      </c>
      <c r="Z30" s="4">
        <v>4</v>
      </c>
      <c r="AA30" s="4">
        <v>17</v>
      </c>
      <c r="AB30" s="16">
        <v>85000</v>
      </c>
      <c r="AC30" s="4">
        <v>1</v>
      </c>
      <c r="AD30" s="4">
        <v>55</v>
      </c>
      <c r="AE30" s="16">
        <v>82500</v>
      </c>
      <c r="AF30" s="4">
        <v>8</v>
      </c>
      <c r="AG30" s="4">
        <v>2267.4100000000003</v>
      </c>
      <c r="AH30" s="16">
        <v>3401115.0000000005</v>
      </c>
      <c r="AI30" s="4">
        <v>11</v>
      </c>
      <c r="AJ30" s="4">
        <v>3</v>
      </c>
      <c r="AK30" s="16">
        <v>175714.28999999998</v>
      </c>
      <c r="AL30" s="28">
        <v>3</v>
      </c>
      <c r="AM30" s="4"/>
      <c r="AN30" s="2" t="s">
        <v>124</v>
      </c>
      <c r="AO30" s="4">
        <v>2022</v>
      </c>
      <c r="AP30" s="4">
        <v>0</v>
      </c>
      <c r="AQ30" s="16">
        <v>0</v>
      </c>
      <c r="AR30" s="4">
        <v>0</v>
      </c>
      <c r="AS30" s="4"/>
      <c r="AT30" s="16"/>
      <c r="AU30" s="4">
        <v>0</v>
      </c>
      <c r="AV30" s="4">
        <v>0</v>
      </c>
      <c r="AW30" s="16">
        <v>0</v>
      </c>
      <c r="AX30" s="4">
        <v>0</v>
      </c>
      <c r="AY30" s="4">
        <v>0</v>
      </c>
      <c r="AZ30" s="16">
        <v>0</v>
      </c>
      <c r="BA30" s="4">
        <v>0</v>
      </c>
      <c r="BB30" s="4">
        <v>0</v>
      </c>
      <c r="BC30" s="16">
        <v>0</v>
      </c>
      <c r="BD30" s="4">
        <v>0</v>
      </c>
      <c r="BE30" s="4"/>
      <c r="BF30" s="4">
        <f t="shared" si="0"/>
        <v>310</v>
      </c>
      <c r="BG30" s="16">
        <f t="shared" si="1"/>
        <v>774500</v>
      </c>
      <c r="BH30" s="4">
        <f t="shared" si="2"/>
        <v>10</v>
      </c>
      <c r="BI30" s="4">
        <f t="shared" si="3"/>
        <v>125</v>
      </c>
      <c r="BJ30" s="16">
        <f t="shared" si="4"/>
        <v>625000</v>
      </c>
      <c r="BK30" s="4">
        <f t="shared" si="5"/>
        <v>4</v>
      </c>
      <c r="BL30" s="4">
        <f t="shared" si="6"/>
        <v>131</v>
      </c>
      <c r="BM30" s="16">
        <f t="shared" si="7"/>
        <v>196500</v>
      </c>
      <c r="BN30" s="4">
        <f t="shared" si="8"/>
        <v>23</v>
      </c>
      <c r="BO30" s="4">
        <f t="shared" si="9"/>
        <v>5440.0599999999995</v>
      </c>
      <c r="BP30" s="16">
        <f t="shared" si="10"/>
        <v>8160090</v>
      </c>
      <c r="BQ30" s="4">
        <f t="shared" si="11"/>
        <v>28</v>
      </c>
      <c r="BR30" s="4">
        <f t="shared" si="12"/>
        <v>8</v>
      </c>
      <c r="BS30" s="16">
        <f t="shared" si="13"/>
        <v>504285.70999999996</v>
      </c>
      <c r="BT30" s="4">
        <f t="shared" si="14"/>
        <v>8</v>
      </c>
      <c r="BU30" s="4">
        <f t="shared" si="15"/>
        <v>6006.0599999999995</v>
      </c>
      <c r="BV30" s="16">
        <f t="shared" si="16"/>
        <v>10260375.710000001</v>
      </c>
      <c r="BW30" s="4">
        <f t="shared" si="17"/>
        <v>73</v>
      </c>
    </row>
    <row r="31" spans="1:75" x14ac:dyDescent="0.25">
      <c r="A31" s="2" t="s">
        <v>124</v>
      </c>
      <c r="B31" s="4">
        <v>2020</v>
      </c>
      <c r="C31" s="4">
        <v>0</v>
      </c>
      <c r="D31" s="4" t="str">
        <f t="shared" si="18"/>
        <v>$0.00</v>
      </c>
      <c r="E31" s="16">
        <v>0</v>
      </c>
      <c r="F31" s="4">
        <v>0</v>
      </c>
      <c r="G31" s="4">
        <v>0</v>
      </c>
      <c r="H31" s="4" t="str">
        <f t="shared" si="19"/>
        <v>$0.00</v>
      </c>
      <c r="I31" s="16">
        <v>0</v>
      </c>
      <c r="J31" s="4">
        <v>0</v>
      </c>
      <c r="K31" s="4">
        <v>0</v>
      </c>
      <c r="L31" s="4" t="str">
        <f t="shared" si="20"/>
        <v>$0.00</v>
      </c>
      <c r="M31" s="16">
        <v>0</v>
      </c>
      <c r="N31" s="4">
        <v>0</v>
      </c>
      <c r="O31" s="4">
        <v>0</v>
      </c>
      <c r="P31" s="4" t="str">
        <f t="shared" si="21"/>
        <v>$0.00</v>
      </c>
      <c r="Q31" s="16">
        <v>0</v>
      </c>
      <c r="R31" s="4">
        <v>0</v>
      </c>
      <c r="S31" s="4">
        <v>0</v>
      </c>
      <c r="T31" s="16">
        <v>0</v>
      </c>
      <c r="U31" s="4">
        <v>0</v>
      </c>
      <c r="V31" s="4" t="s">
        <v>125</v>
      </c>
      <c r="W31" s="4">
        <v>2021</v>
      </c>
      <c r="X31" s="4">
        <v>0</v>
      </c>
      <c r="Y31" s="16">
        <v>0</v>
      </c>
      <c r="Z31" s="4">
        <v>0</v>
      </c>
      <c r="AA31" s="4">
        <v>0</v>
      </c>
      <c r="AB31" s="16">
        <v>0</v>
      </c>
      <c r="AC31" s="4">
        <v>0</v>
      </c>
      <c r="AD31" s="4">
        <v>0</v>
      </c>
      <c r="AE31" s="16">
        <v>0</v>
      </c>
      <c r="AF31" s="4">
        <v>0</v>
      </c>
      <c r="AG31" s="4">
        <v>0</v>
      </c>
      <c r="AH31" s="16">
        <v>0</v>
      </c>
      <c r="AI31" s="4">
        <v>0</v>
      </c>
      <c r="AJ31" s="4">
        <v>0</v>
      </c>
      <c r="AK31" s="16">
        <v>0</v>
      </c>
      <c r="AL31" s="28">
        <v>0</v>
      </c>
      <c r="AM31" s="4"/>
      <c r="AN31" s="2" t="s">
        <v>33</v>
      </c>
      <c r="AO31" s="4">
        <v>2022</v>
      </c>
      <c r="AP31" s="4">
        <v>31</v>
      </c>
      <c r="AQ31" s="16">
        <v>77500</v>
      </c>
      <c r="AR31" s="4">
        <v>2</v>
      </c>
      <c r="AS31" s="4">
        <v>8</v>
      </c>
      <c r="AT31" s="16">
        <v>40000</v>
      </c>
      <c r="AU31" s="4">
        <v>1</v>
      </c>
      <c r="AV31" s="4">
        <v>36</v>
      </c>
      <c r="AW31" s="16">
        <v>54000</v>
      </c>
      <c r="AX31" s="4">
        <v>7</v>
      </c>
      <c r="AY31" s="4">
        <v>1228.23</v>
      </c>
      <c r="AZ31" s="16">
        <v>1842345</v>
      </c>
      <c r="BA31" s="4">
        <v>8</v>
      </c>
      <c r="BB31" s="4">
        <v>0</v>
      </c>
      <c r="BC31" s="16">
        <v>0</v>
      </c>
      <c r="BD31" s="4">
        <v>0</v>
      </c>
      <c r="BE31" s="4"/>
      <c r="BF31" s="4">
        <f t="shared" si="0"/>
        <v>0</v>
      </c>
      <c r="BG31" s="16">
        <f t="shared" si="1"/>
        <v>0</v>
      </c>
      <c r="BH31" s="4">
        <f t="shared" si="2"/>
        <v>0</v>
      </c>
      <c r="BI31" s="4">
        <f t="shared" si="3"/>
        <v>0</v>
      </c>
      <c r="BJ31" s="16">
        <f t="shared" si="4"/>
        <v>0</v>
      </c>
      <c r="BK31" s="4">
        <f t="shared" si="5"/>
        <v>0</v>
      </c>
      <c r="BL31" s="4">
        <f t="shared" si="6"/>
        <v>0</v>
      </c>
      <c r="BM31" s="16">
        <f t="shared" si="7"/>
        <v>0</v>
      </c>
      <c r="BN31" s="4">
        <f t="shared" si="8"/>
        <v>0</v>
      </c>
      <c r="BO31" s="4">
        <f t="shared" si="9"/>
        <v>0</v>
      </c>
      <c r="BP31" s="16">
        <f t="shared" si="10"/>
        <v>0</v>
      </c>
      <c r="BQ31" s="4">
        <f t="shared" si="11"/>
        <v>0</v>
      </c>
      <c r="BR31" s="4">
        <f t="shared" si="12"/>
        <v>0</v>
      </c>
      <c r="BS31" s="16">
        <f t="shared" si="13"/>
        <v>0</v>
      </c>
      <c r="BT31" s="4">
        <f t="shared" si="14"/>
        <v>0</v>
      </c>
      <c r="BU31" s="4">
        <f t="shared" si="15"/>
        <v>0</v>
      </c>
      <c r="BV31" s="16">
        <f t="shared" si="16"/>
        <v>0</v>
      </c>
      <c r="BW31" s="4">
        <f t="shared" si="17"/>
        <v>0</v>
      </c>
    </row>
    <row r="32" spans="1:75" x14ac:dyDescent="0.25">
      <c r="A32" s="2" t="s">
        <v>33</v>
      </c>
      <c r="B32" s="4">
        <v>2020</v>
      </c>
      <c r="C32" s="4">
        <v>211</v>
      </c>
      <c r="D32" s="4" t="str">
        <f t="shared" si="18"/>
        <v>$527,000.00</v>
      </c>
      <c r="E32" s="16">
        <v>527000</v>
      </c>
      <c r="F32" s="4">
        <v>4</v>
      </c>
      <c r="G32" s="4">
        <v>100</v>
      </c>
      <c r="H32" s="4" t="str">
        <f t="shared" si="19"/>
        <v>$500,000.00</v>
      </c>
      <c r="I32" s="16">
        <v>500000</v>
      </c>
      <c r="J32" s="4">
        <v>2</v>
      </c>
      <c r="K32" s="4">
        <v>40</v>
      </c>
      <c r="L32" s="4" t="str">
        <f t="shared" si="20"/>
        <v>$60,000.00</v>
      </c>
      <c r="M32" s="16">
        <v>60000</v>
      </c>
      <c r="N32" s="4">
        <v>8</v>
      </c>
      <c r="O32" s="4">
        <v>1944.42</v>
      </c>
      <c r="P32" s="4" t="str">
        <f t="shared" si="21"/>
        <v>$2,916,630.00</v>
      </c>
      <c r="Q32" s="16">
        <v>2916630</v>
      </c>
      <c r="R32" s="4">
        <v>9</v>
      </c>
      <c r="S32" s="4">
        <v>5</v>
      </c>
      <c r="T32" s="16">
        <v>328571.42</v>
      </c>
      <c r="U32" s="4">
        <v>5</v>
      </c>
      <c r="V32" s="4" t="s">
        <v>34</v>
      </c>
      <c r="W32" s="4">
        <v>2021</v>
      </c>
      <c r="X32" s="4">
        <v>0</v>
      </c>
      <c r="Y32" s="16">
        <v>0</v>
      </c>
      <c r="Z32" s="4">
        <v>0</v>
      </c>
      <c r="AA32" s="4">
        <v>0</v>
      </c>
      <c r="AB32" s="16">
        <v>0</v>
      </c>
      <c r="AC32" s="4">
        <v>0</v>
      </c>
      <c r="AD32" s="4">
        <v>0</v>
      </c>
      <c r="AE32" s="16">
        <v>0</v>
      </c>
      <c r="AF32" s="4">
        <v>0</v>
      </c>
      <c r="AG32" s="4">
        <v>0</v>
      </c>
      <c r="AH32" s="16">
        <v>0</v>
      </c>
      <c r="AI32" s="4">
        <v>0</v>
      </c>
      <c r="AJ32" s="4">
        <v>0</v>
      </c>
      <c r="AK32" s="16">
        <v>0</v>
      </c>
      <c r="AL32" s="28">
        <v>0</v>
      </c>
      <c r="AM32" s="4"/>
      <c r="AN32" s="2" t="s">
        <v>125</v>
      </c>
      <c r="AO32" s="4">
        <v>2022</v>
      </c>
      <c r="AP32" s="4">
        <v>0</v>
      </c>
      <c r="AQ32" s="16">
        <v>0</v>
      </c>
      <c r="AR32" s="4">
        <v>0</v>
      </c>
      <c r="AS32" s="4"/>
      <c r="AT32" s="16"/>
      <c r="AU32" s="4">
        <v>0</v>
      </c>
      <c r="AV32" s="4">
        <v>0</v>
      </c>
      <c r="AW32" s="16">
        <v>0</v>
      </c>
      <c r="AX32" s="4">
        <v>0</v>
      </c>
      <c r="AY32" s="4">
        <v>0</v>
      </c>
      <c r="AZ32" s="16">
        <v>0</v>
      </c>
      <c r="BA32" s="4">
        <v>0</v>
      </c>
      <c r="BB32" s="4">
        <v>0</v>
      </c>
      <c r="BC32" s="16">
        <v>0</v>
      </c>
      <c r="BD32" s="4">
        <v>0</v>
      </c>
      <c r="BE32" s="4"/>
      <c r="BF32" s="4">
        <f t="shared" si="0"/>
        <v>0</v>
      </c>
      <c r="BG32" s="16">
        <f t="shared" si="1"/>
        <v>0</v>
      </c>
      <c r="BH32" s="4">
        <f t="shared" si="2"/>
        <v>0</v>
      </c>
      <c r="BI32" s="4">
        <f t="shared" si="3"/>
        <v>45</v>
      </c>
      <c r="BJ32" s="16">
        <f t="shared" si="4"/>
        <v>225000</v>
      </c>
      <c r="BK32" s="4">
        <f t="shared" si="5"/>
        <v>1</v>
      </c>
      <c r="BL32" s="4">
        <f t="shared" si="6"/>
        <v>0</v>
      </c>
      <c r="BM32" s="16">
        <f t="shared" si="7"/>
        <v>0</v>
      </c>
      <c r="BN32" s="4">
        <f t="shared" si="8"/>
        <v>0</v>
      </c>
      <c r="BO32" s="4">
        <f t="shared" si="9"/>
        <v>43</v>
      </c>
      <c r="BP32" s="16">
        <f t="shared" si="10"/>
        <v>64500</v>
      </c>
      <c r="BQ32" s="4">
        <f t="shared" si="11"/>
        <v>1</v>
      </c>
      <c r="BR32" s="4">
        <f t="shared" si="12"/>
        <v>0</v>
      </c>
      <c r="BS32" s="16">
        <f t="shared" si="13"/>
        <v>0</v>
      </c>
      <c r="BT32" s="4">
        <f t="shared" si="14"/>
        <v>0</v>
      </c>
      <c r="BU32" s="4">
        <f t="shared" si="15"/>
        <v>88</v>
      </c>
      <c r="BV32" s="16">
        <f t="shared" si="16"/>
        <v>289500</v>
      </c>
      <c r="BW32" s="4">
        <f t="shared" si="17"/>
        <v>2</v>
      </c>
    </row>
    <row r="33" spans="1:75" x14ac:dyDescent="0.25">
      <c r="A33" s="2" t="s">
        <v>125</v>
      </c>
      <c r="B33" s="4">
        <v>2020</v>
      </c>
      <c r="C33" s="4">
        <v>0</v>
      </c>
      <c r="D33" s="4" t="str">
        <f t="shared" si="18"/>
        <v>$0.00</v>
      </c>
      <c r="E33" s="16">
        <v>0</v>
      </c>
      <c r="F33" s="4">
        <v>0</v>
      </c>
      <c r="G33" s="4">
        <v>0</v>
      </c>
      <c r="H33" s="4" t="str">
        <f t="shared" si="19"/>
        <v>$0.00</v>
      </c>
      <c r="I33" s="16">
        <v>0</v>
      </c>
      <c r="J33" s="4">
        <v>0</v>
      </c>
      <c r="K33" s="4">
        <v>0</v>
      </c>
      <c r="L33" s="4" t="str">
        <f t="shared" si="20"/>
        <v>$0.00</v>
      </c>
      <c r="M33" s="16">
        <v>0</v>
      </c>
      <c r="N33" s="4">
        <v>0</v>
      </c>
      <c r="O33" s="4">
        <v>0</v>
      </c>
      <c r="P33" s="4" t="str">
        <f t="shared" si="21"/>
        <v>$0.00</v>
      </c>
      <c r="Q33" s="16">
        <v>0</v>
      </c>
      <c r="R33" s="4">
        <v>0</v>
      </c>
      <c r="S33" s="4">
        <v>0</v>
      </c>
      <c r="T33" s="16">
        <v>0</v>
      </c>
      <c r="U33" s="4">
        <v>0</v>
      </c>
      <c r="V33" s="4" t="s">
        <v>126</v>
      </c>
      <c r="W33" s="4">
        <v>2021</v>
      </c>
      <c r="X33" s="4">
        <v>0</v>
      </c>
      <c r="Y33" s="16">
        <v>0</v>
      </c>
      <c r="Z33" s="4">
        <v>0</v>
      </c>
      <c r="AA33" s="4">
        <v>0</v>
      </c>
      <c r="AB33" s="16">
        <v>0</v>
      </c>
      <c r="AC33" s="4">
        <v>0</v>
      </c>
      <c r="AD33" s="4">
        <v>0</v>
      </c>
      <c r="AE33" s="16">
        <v>0</v>
      </c>
      <c r="AF33" s="4">
        <v>0</v>
      </c>
      <c r="AG33" s="4">
        <v>0</v>
      </c>
      <c r="AH33" s="16">
        <v>0</v>
      </c>
      <c r="AI33" s="4">
        <v>0</v>
      </c>
      <c r="AJ33" s="4">
        <v>0</v>
      </c>
      <c r="AK33" s="16">
        <v>0</v>
      </c>
      <c r="AL33" s="28">
        <v>0</v>
      </c>
      <c r="AM33" s="4"/>
      <c r="AN33" s="2" t="s">
        <v>34</v>
      </c>
      <c r="AO33" s="4">
        <v>2022</v>
      </c>
      <c r="AP33" s="4">
        <v>0</v>
      </c>
      <c r="AQ33" s="16">
        <v>0</v>
      </c>
      <c r="AR33" s="4">
        <v>0</v>
      </c>
      <c r="AS33" s="4">
        <v>45</v>
      </c>
      <c r="AT33" s="16">
        <v>225000</v>
      </c>
      <c r="AU33" s="4">
        <v>1</v>
      </c>
      <c r="AV33" s="4">
        <v>0</v>
      </c>
      <c r="AW33" s="16">
        <v>0</v>
      </c>
      <c r="AX33" s="4">
        <v>0</v>
      </c>
      <c r="AY33" s="4">
        <v>43</v>
      </c>
      <c r="AZ33" s="16">
        <v>64500</v>
      </c>
      <c r="BA33" s="4">
        <v>1</v>
      </c>
      <c r="BB33" s="4">
        <v>0</v>
      </c>
      <c r="BC33" s="16">
        <v>0</v>
      </c>
      <c r="BD33" s="4">
        <v>0</v>
      </c>
      <c r="BE33" s="4"/>
      <c r="BF33" s="4">
        <f t="shared" si="0"/>
        <v>0</v>
      </c>
      <c r="BG33" s="16">
        <f t="shared" si="1"/>
        <v>0</v>
      </c>
      <c r="BH33" s="4">
        <f t="shared" si="2"/>
        <v>0</v>
      </c>
      <c r="BI33" s="4">
        <f t="shared" si="3"/>
        <v>0</v>
      </c>
      <c r="BJ33" s="16">
        <f t="shared" si="4"/>
        <v>0</v>
      </c>
      <c r="BK33" s="4">
        <f t="shared" si="5"/>
        <v>0</v>
      </c>
      <c r="BL33" s="4">
        <f t="shared" si="6"/>
        <v>0</v>
      </c>
      <c r="BM33" s="16">
        <f t="shared" si="7"/>
        <v>0</v>
      </c>
      <c r="BN33" s="4">
        <f t="shared" si="8"/>
        <v>0</v>
      </c>
      <c r="BO33" s="4">
        <f t="shared" si="9"/>
        <v>0</v>
      </c>
      <c r="BP33" s="16">
        <f t="shared" si="10"/>
        <v>0</v>
      </c>
      <c r="BQ33" s="4">
        <f t="shared" si="11"/>
        <v>0</v>
      </c>
      <c r="BR33" s="4">
        <f t="shared" si="12"/>
        <v>0</v>
      </c>
      <c r="BS33" s="16">
        <f t="shared" si="13"/>
        <v>0</v>
      </c>
      <c r="BT33" s="4">
        <f t="shared" si="14"/>
        <v>0</v>
      </c>
      <c r="BU33" s="4">
        <f t="shared" si="15"/>
        <v>0</v>
      </c>
      <c r="BV33" s="16">
        <f t="shared" si="16"/>
        <v>0</v>
      </c>
      <c r="BW33" s="4">
        <f t="shared" si="17"/>
        <v>0</v>
      </c>
    </row>
    <row r="34" spans="1:75" x14ac:dyDescent="0.25">
      <c r="A34" s="2" t="s">
        <v>34</v>
      </c>
      <c r="B34" s="4">
        <v>2020</v>
      </c>
      <c r="C34" s="4">
        <v>0</v>
      </c>
      <c r="D34" s="4" t="str">
        <f t="shared" si="18"/>
        <v>$0.00</v>
      </c>
      <c r="E34" s="16">
        <v>0</v>
      </c>
      <c r="F34" s="4">
        <v>0</v>
      </c>
      <c r="G34" s="4">
        <v>0</v>
      </c>
      <c r="H34" s="4" t="str">
        <f t="shared" si="19"/>
        <v>$0.00</v>
      </c>
      <c r="I34" s="16">
        <v>0</v>
      </c>
      <c r="J34" s="4">
        <v>0</v>
      </c>
      <c r="K34" s="4">
        <v>0</v>
      </c>
      <c r="L34" s="4" t="str">
        <f t="shared" si="20"/>
        <v>$0.00</v>
      </c>
      <c r="M34" s="16">
        <v>0</v>
      </c>
      <c r="N34" s="4">
        <v>0</v>
      </c>
      <c r="O34" s="4">
        <v>0</v>
      </c>
      <c r="P34" s="4" t="str">
        <f t="shared" si="21"/>
        <v>$0.00</v>
      </c>
      <c r="Q34" s="16">
        <v>0</v>
      </c>
      <c r="R34" s="4">
        <v>0</v>
      </c>
      <c r="S34" s="4">
        <v>0</v>
      </c>
      <c r="T34" s="16">
        <v>0</v>
      </c>
      <c r="U34" s="4">
        <v>0</v>
      </c>
      <c r="V34" s="4" t="s">
        <v>127</v>
      </c>
      <c r="W34" s="4">
        <v>2021</v>
      </c>
      <c r="X34" s="4">
        <v>0</v>
      </c>
      <c r="Y34" s="16">
        <v>0</v>
      </c>
      <c r="Z34" s="4">
        <v>0</v>
      </c>
      <c r="AA34" s="4">
        <v>0</v>
      </c>
      <c r="AB34" s="16">
        <v>0</v>
      </c>
      <c r="AC34" s="4">
        <v>0</v>
      </c>
      <c r="AD34" s="4">
        <v>0</v>
      </c>
      <c r="AE34" s="16">
        <v>0</v>
      </c>
      <c r="AF34" s="4">
        <v>0</v>
      </c>
      <c r="AG34" s="4">
        <v>0</v>
      </c>
      <c r="AH34" s="16">
        <v>0</v>
      </c>
      <c r="AI34" s="4">
        <v>0</v>
      </c>
      <c r="AJ34" s="4">
        <v>0</v>
      </c>
      <c r="AK34" s="16">
        <v>0</v>
      </c>
      <c r="AL34" s="28">
        <v>0</v>
      </c>
      <c r="AM34" s="4"/>
      <c r="AN34" s="2" t="s">
        <v>126</v>
      </c>
      <c r="AO34" s="4">
        <v>2022</v>
      </c>
      <c r="AP34" s="4">
        <v>0</v>
      </c>
      <c r="AQ34" s="16">
        <v>0</v>
      </c>
      <c r="AR34" s="4">
        <v>0</v>
      </c>
      <c r="AS34" s="4"/>
      <c r="AT34" s="16"/>
      <c r="AU34" s="4">
        <v>0</v>
      </c>
      <c r="AV34" s="4">
        <v>0</v>
      </c>
      <c r="AW34" s="16">
        <v>0</v>
      </c>
      <c r="AX34" s="4">
        <v>0</v>
      </c>
      <c r="AY34" s="4">
        <v>0</v>
      </c>
      <c r="AZ34" s="16">
        <v>0</v>
      </c>
      <c r="BA34" s="4">
        <v>0</v>
      </c>
      <c r="BB34" s="4">
        <v>0</v>
      </c>
      <c r="BC34" s="16">
        <v>0</v>
      </c>
      <c r="BD34" s="4">
        <v>0</v>
      </c>
      <c r="BE34" s="4"/>
      <c r="BF34" s="4">
        <f t="shared" si="0"/>
        <v>0</v>
      </c>
      <c r="BG34" s="16">
        <f t="shared" si="1"/>
        <v>0</v>
      </c>
      <c r="BH34" s="4">
        <f t="shared" si="2"/>
        <v>0</v>
      </c>
      <c r="BI34" s="4">
        <f t="shared" si="3"/>
        <v>0</v>
      </c>
      <c r="BJ34" s="16">
        <f t="shared" si="4"/>
        <v>0</v>
      </c>
      <c r="BK34" s="4">
        <f t="shared" si="5"/>
        <v>0</v>
      </c>
      <c r="BL34" s="4">
        <f t="shared" si="6"/>
        <v>0</v>
      </c>
      <c r="BM34" s="16">
        <f t="shared" si="7"/>
        <v>0</v>
      </c>
      <c r="BN34" s="4">
        <f t="shared" si="8"/>
        <v>0</v>
      </c>
      <c r="BO34" s="4">
        <f t="shared" si="9"/>
        <v>0</v>
      </c>
      <c r="BP34" s="16">
        <f t="shared" si="10"/>
        <v>0</v>
      </c>
      <c r="BQ34" s="4">
        <f t="shared" si="11"/>
        <v>0</v>
      </c>
      <c r="BR34" s="4">
        <f t="shared" si="12"/>
        <v>0</v>
      </c>
      <c r="BS34" s="16">
        <f t="shared" si="13"/>
        <v>0</v>
      </c>
      <c r="BT34" s="4">
        <f t="shared" si="14"/>
        <v>0</v>
      </c>
      <c r="BU34" s="4">
        <f t="shared" si="15"/>
        <v>0</v>
      </c>
      <c r="BV34" s="16">
        <f t="shared" si="16"/>
        <v>0</v>
      </c>
      <c r="BW34" s="4">
        <f t="shared" si="17"/>
        <v>0</v>
      </c>
    </row>
    <row r="35" spans="1:75" x14ac:dyDescent="0.25">
      <c r="A35" s="2" t="s">
        <v>126</v>
      </c>
      <c r="B35" s="4">
        <v>2020</v>
      </c>
      <c r="C35" s="4">
        <v>0</v>
      </c>
      <c r="D35" s="4" t="str">
        <f t="shared" si="18"/>
        <v>$0.00</v>
      </c>
      <c r="E35" s="16">
        <v>0</v>
      </c>
      <c r="F35" s="4">
        <v>0</v>
      </c>
      <c r="G35" s="4">
        <v>0</v>
      </c>
      <c r="H35" s="4" t="str">
        <f t="shared" si="19"/>
        <v>$0.00</v>
      </c>
      <c r="I35" s="16">
        <v>0</v>
      </c>
      <c r="J35" s="4">
        <v>0</v>
      </c>
      <c r="K35" s="4">
        <v>0</v>
      </c>
      <c r="L35" s="4" t="str">
        <f t="shared" si="20"/>
        <v>$0.00</v>
      </c>
      <c r="M35" s="16">
        <v>0</v>
      </c>
      <c r="N35" s="4">
        <v>0</v>
      </c>
      <c r="O35" s="4">
        <v>0</v>
      </c>
      <c r="P35" s="4" t="str">
        <f t="shared" si="21"/>
        <v>$0.00</v>
      </c>
      <c r="Q35" s="16">
        <v>0</v>
      </c>
      <c r="R35" s="4">
        <v>0</v>
      </c>
      <c r="S35" s="4">
        <v>0</v>
      </c>
      <c r="T35" s="16">
        <v>0</v>
      </c>
      <c r="U35" s="4">
        <v>0</v>
      </c>
      <c r="V35" s="4" t="s">
        <v>35</v>
      </c>
      <c r="W35" s="4">
        <v>2021</v>
      </c>
      <c r="X35" s="4">
        <v>99.44</v>
      </c>
      <c r="Y35" s="16">
        <v>248600</v>
      </c>
      <c r="Z35" s="4">
        <v>7</v>
      </c>
      <c r="AA35" s="4">
        <v>4.83</v>
      </c>
      <c r="AB35" s="16">
        <v>24150</v>
      </c>
      <c r="AC35" s="4">
        <v>2</v>
      </c>
      <c r="AD35" s="4">
        <v>66</v>
      </c>
      <c r="AE35" s="16">
        <v>99000</v>
      </c>
      <c r="AF35" s="4">
        <v>4</v>
      </c>
      <c r="AG35" s="4">
        <v>2927.27</v>
      </c>
      <c r="AH35" s="16">
        <v>4390905</v>
      </c>
      <c r="AI35" s="4">
        <v>13</v>
      </c>
      <c r="AJ35" s="4">
        <v>2</v>
      </c>
      <c r="AK35" s="16">
        <v>120000</v>
      </c>
      <c r="AL35" s="28">
        <v>2</v>
      </c>
      <c r="AM35" s="4"/>
      <c r="AN35" s="2" t="s">
        <v>127</v>
      </c>
      <c r="AO35" s="4">
        <v>2022</v>
      </c>
      <c r="AP35" s="4">
        <v>0</v>
      </c>
      <c r="AQ35" s="16">
        <v>0</v>
      </c>
      <c r="AR35" s="4">
        <v>0</v>
      </c>
      <c r="AS35" s="4"/>
      <c r="AT35" s="16"/>
      <c r="AU35" s="4">
        <v>0</v>
      </c>
      <c r="AV35" s="4">
        <v>0</v>
      </c>
      <c r="AW35" s="16">
        <v>0</v>
      </c>
      <c r="AX35" s="4">
        <v>0</v>
      </c>
      <c r="AY35" s="4">
        <v>0</v>
      </c>
      <c r="AZ35" s="16">
        <v>0</v>
      </c>
      <c r="BA35" s="4">
        <v>0</v>
      </c>
      <c r="BB35" s="4">
        <v>0</v>
      </c>
      <c r="BC35" s="16">
        <v>0</v>
      </c>
      <c r="BD35" s="4">
        <v>0</v>
      </c>
      <c r="BE35" s="4"/>
      <c r="BF35" s="4">
        <f t="shared" ref="BF35:BF66" si="22">C37+X35+AP36</f>
        <v>256.33</v>
      </c>
      <c r="BG35" s="16">
        <f t="shared" ref="BG35:BG66" si="23">E37+Y35+AQ36</f>
        <v>593325</v>
      </c>
      <c r="BH35" s="4">
        <f t="shared" ref="BH35:BH66" si="24">F37+Z35+AR36</f>
        <v>17</v>
      </c>
      <c r="BI35" s="4">
        <f t="shared" ref="BI35:BI66" si="25">G37+AA35+AS36</f>
        <v>6.83</v>
      </c>
      <c r="BJ35" s="16">
        <f t="shared" ref="BJ35:BJ66" si="26">I37+AB35+AT36</f>
        <v>34150</v>
      </c>
      <c r="BK35" s="4">
        <f t="shared" ref="BK35:BK66" si="27">J37+AC35+AU36</f>
        <v>4</v>
      </c>
      <c r="BL35" s="4">
        <f t="shared" ref="BL35:BL66" si="28">K37+AD35+AV36</f>
        <v>135</v>
      </c>
      <c r="BM35" s="16">
        <f t="shared" ref="BM35:BM66" si="29">M37+AE35+AW36</f>
        <v>202500</v>
      </c>
      <c r="BN35" s="4">
        <f t="shared" ref="BN35:BN66" si="30">N37+AF35+AX36</f>
        <v>9</v>
      </c>
      <c r="BO35" s="4">
        <f t="shared" ref="BO35:BO66" si="31">O37+AG35+AY36</f>
        <v>7431.8099999999995</v>
      </c>
      <c r="BP35" s="16">
        <f t="shared" ref="BP35:BP66" si="32">Q37+AH35+AZ36</f>
        <v>11147715</v>
      </c>
      <c r="BQ35" s="4">
        <f t="shared" ref="BQ35:BQ66" si="33">R37+AI35+BA36</f>
        <v>37</v>
      </c>
      <c r="BR35" s="4">
        <f t="shared" ref="BR35:BR66" si="34">S37+AJ35+BB36</f>
        <v>7</v>
      </c>
      <c r="BS35" s="16">
        <f t="shared" ref="BS35:BS66" si="35">T37+AK35+BC36</f>
        <v>625000</v>
      </c>
      <c r="BT35" s="4">
        <f t="shared" ref="BT35:BT66" si="36">U37+AL35+BD36</f>
        <v>7</v>
      </c>
      <c r="BU35" s="4">
        <f t="shared" si="15"/>
        <v>7829.9699999999993</v>
      </c>
      <c r="BV35" s="16">
        <f t="shared" si="16"/>
        <v>12602690</v>
      </c>
      <c r="BW35" s="4">
        <f t="shared" si="17"/>
        <v>74</v>
      </c>
    </row>
    <row r="36" spans="1:75" x14ac:dyDescent="0.25">
      <c r="A36" s="2" t="s">
        <v>127</v>
      </c>
      <c r="B36" s="4">
        <v>2020</v>
      </c>
      <c r="C36" s="4">
        <v>0</v>
      </c>
      <c r="D36" s="4" t="str">
        <f t="shared" si="18"/>
        <v>$0.00</v>
      </c>
      <c r="E36" s="16">
        <v>0</v>
      </c>
      <c r="F36" s="4">
        <v>0</v>
      </c>
      <c r="G36" s="4">
        <v>0</v>
      </c>
      <c r="H36" s="4" t="str">
        <f t="shared" si="19"/>
        <v>$0.00</v>
      </c>
      <c r="I36" s="16">
        <v>0</v>
      </c>
      <c r="J36" s="4">
        <v>0</v>
      </c>
      <c r="K36" s="4">
        <v>0</v>
      </c>
      <c r="L36" s="4" t="str">
        <f t="shared" si="20"/>
        <v>$0.00</v>
      </c>
      <c r="M36" s="16">
        <v>0</v>
      </c>
      <c r="N36" s="4">
        <v>0</v>
      </c>
      <c r="O36" s="4">
        <v>0</v>
      </c>
      <c r="P36" s="4" t="str">
        <f t="shared" si="21"/>
        <v>$0.00</v>
      </c>
      <c r="Q36" s="16">
        <v>0</v>
      </c>
      <c r="R36" s="4">
        <v>0</v>
      </c>
      <c r="S36" s="4">
        <v>0</v>
      </c>
      <c r="T36" s="16">
        <v>0</v>
      </c>
      <c r="U36" s="4">
        <v>0</v>
      </c>
      <c r="V36" s="4" t="s">
        <v>36</v>
      </c>
      <c r="W36" s="4">
        <v>2021</v>
      </c>
      <c r="X36" s="4">
        <v>0</v>
      </c>
      <c r="Y36" s="16">
        <v>0</v>
      </c>
      <c r="Z36" s="4">
        <v>0</v>
      </c>
      <c r="AA36" s="4">
        <v>0</v>
      </c>
      <c r="AB36" s="16">
        <v>0</v>
      </c>
      <c r="AC36" s="4">
        <v>0</v>
      </c>
      <c r="AD36" s="4">
        <v>0</v>
      </c>
      <c r="AE36" s="16">
        <v>0</v>
      </c>
      <c r="AF36" s="4">
        <v>0</v>
      </c>
      <c r="AG36" s="4">
        <v>0</v>
      </c>
      <c r="AH36" s="16">
        <v>0</v>
      </c>
      <c r="AI36" s="4">
        <v>0</v>
      </c>
      <c r="AJ36" s="4">
        <v>0</v>
      </c>
      <c r="AK36" s="16">
        <v>0</v>
      </c>
      <c r="AL36" s="28">
        <v>0</v>
      </c>
      <c r="AM36" s="4"/>
      <c r="AN36" s="2" t="s">
        <v>35</v>
      </c>
      <c r="AO36" s="4">
        <v>2022</v>
      </c>
      <c r="AP36" s="4">
        <v>61.89</v>
      </c>
      <c r="AQ36" s="16">
        <v>154725</v>
      </c>
      <c r="AR36" s="4">
        <v>7</v>
      </c>
      <c r="AS36" s="4"/>
      <c r="AT36" s="16"/>
      <c r="AU36" s="4">
        <v>0</v>
      </c>
      <c r="AV36" s="4">
        <v>22</v>
      </c>
      <c r="AW36" s="16">
        <v>33000</v>
      </c>
      <c r="AX36" s="4">
        <v>2</v>
      </c>
      <c r="AY36" s="4">
        <v>2636.27</v>
      </c>
      <c r="AZ36" s="16">
        <v>3954405</v>
      </c>
      <c r="BA36" s="4">
        <v>15</v>
      </c>
      <c r="BB36" s="4">
        <v>3</v>
      </c>
      <c r="BC36" s="16">
        <v>380000</v>
      </c>
      <c r="BD36" s="4">
        <v>3</v>
      </c>
      <c r="BE36" s="4"/>
      <c r="BF36" s="4">
        <f t="shared" si="22"/>
        <v>0</v>
      </c>
      <c r="BG36" s="16">
        <f t="shared" si="23"/>
        <v>0</v>
      </c>
      <c r="BH36" s="4">
        <f t="shared" si="24"/>
        <v>0</v>
      </c>
      <c r="BI36" s="4">
        <f t="shared" si="25"/>
        <v>0</v>
      </c>
      <c r="BJ36" s="16">
        <f t="shared" si="26"/>
        <v>0</v>
      </c>
      <c r="BK36" s="4">
        <f t="shared" si="27"/>
        <v>0</v>
      </c>
      <c r="BL36" s="4">
        <f t="shared" si="28"/>
        <v>0</v>
      </c>
      <c r="BM36" s="16">
        <f t="shared" si="29"/>
        <v>0</v>
      </c>
      <c r="BN36" s="4">
        <f t="shared" si="30"/>
        <v>0</v>
      </c>
      <c r="BO36" s="4">
        <f t="shared" si="31"/>
        <v>0</v>
      </c>
      <c r="BP36" s="16">
        <f t="shared" si="32"/>
        <v>0</v>
      </c>
      <c r="BQ36" s="4">
        <f t="shared" si="33"/>
        <v>0</v>
      </c>
      <c r="BR36" s="4">
        <f t="shared" si="34"/>
        <v>0</v>
      </c>
      <c r="BS36" s="16">
        <f t="shared" si="35"/>
        <v>0</v>
      </c>
      <c r="BT36" s="4">
        <f t="shared" si="36"/>
        <v>0</v>
      </c>
      <c r="BU36" s="4">
        <f t="shared" si="15"/>
        <v>0</v>
      </c>
      <c r="BV36" s="16">
        <f t="shared" si="16"/>
        <v>0</v>
      </c>
      <c r="BW36" s="4">
        <f t="shared" si="17"/>
        <v>0</v>
      </c>
    </row>
    <row r="37" spans="1:75" x14ac:dyDescent="0.25">
      <c r="A37" s="2" t="s">
        <v>35</v>
      </c>
      <c r="B37" s="4">
        <v>2020</v>
      </c>
      <c r="C37" s="4">
        <v>95</v>
      </c>
      <c r="D37" s="4" t="str">
        <f t="shared" si="18"/>
        <v>$190,000.00</v>
      </c>
      <c r="E37" s="16">
        <v>190000</v>
      </c>
      <c r="F37" s="4">
        <v>3</v>
      </c>
      <c r="G37" s="4">
        <v>2</v>
      </c>
      <c r="H37" s="4" t="str">
        <f t="shared" si="19"/>
        <v>$10,000.00</v>
      </c>
      <c r="I37" s="16">
        <v>10000</v>
      </c>
      <c r="J37" s="4">
        <v>2</v>
      </c>
      <c r="K37" s="4">
        <v>47</v>
      </c>
      <c r="L37" s="4" t="str">
        <f t="shared" si="20"/>
        <v>$70,500.00</v>
      </c>
      <c r="M37" s="16">
        <v>70500</v>
      </c>
      <c r="N37" s="4">
        <v>3</v>
      </c>
      <c r="O37" s="4">
        <v>1868.27</v>
      </c>
      <c r="P37" s="4" t="str">
        <f t="shared" si="21"/>
        <v>$2,802,405.00</v>
      </c>
      <c r="Q37" s="16">
        <v>2802405</v>
      </c>
      <c r="R37" s="4">
        <v>9</v>
      </c>
      <c r="S37" s="4">
        <v>2</v>
      </c>
      <c r="T37" s="16">
        <v>125000</v>
      </c>
      <c r="U37" s="4">
        <v>2</v>
      </c>
      <c r="V37" s="4" t="s">
        <v>37</v>
      </c>
      <c r="W37" s="4">
        <v>2021</v>
      </c>
      <c r="X37" s="4">
        <v>0</v>
      </c>
      <c r="Y37" s="16">
        <v>0</v>
      </c>
      <c r="Z37" s="4">
        <v>0</v>
      </c>
      <c r="AA37" s="4">
        <v>14</v>
      </c>
      <c r="AB37" s="16">
        <v>85000</v>
      </c>
      <c r="AC37" s="4">
        <v>3</v>
      </c>
      <c r="AD37" s="4">
        <v>20</v>
      </c>
      <c r="AE37" s="16">
        <v>30000</v>
      </c>
      <c r="AF37" s="4">
        <v>1</v>
      </c>
      <c r="AG37" s="4">
        <v>204</v>
      </c>
      <c r="AH37" s="16">
        <v>306000</v>
      </c>
      <c r="AI37" s="4">
        <v>1</v>
      </c>
      <c r="AJ37" s="4">
        <v>1</v>
      </c>
      <c r="AK37" s="16">
        <v>30000</v>
      </c>
      <c r="AL37" s="28">
        <v>1</v>
      </c>
      <c r="AM37" s="4"/>
      <c r="AN37" s="2" t="s">
        <v>36</v>
      </c>
      <c r="AO37" s="4">
        <v>2022</v>
      </c>
      <c r="AP37" s="4">
        <v>0</v>
      </c>
      <c r="AQ37" s="16">
        <v>0</v>
      </c>
      <c r="AR37" s="4">
        <v>0</v>
      </c>
      <c r="AS37" s="4"/>
      <c r="AT37" s="16"/>
      <c r="AU37" s="4">
        <v>0</v>
      </c>
      <c r="AV37" s="4">
        <v>0</v>
      </c>
      <c r="AW37" s="16">
        <v>0</v>
      </c>
      <c r="AX37" s="4">
        <v>0</v>
      </c>
      <c r="AY37" s="4">
        <v>0</v>
      </c>
      <c r="AZ37" s="16">
        <v>0</v>
      </c>
      <c r="BA37" s="4">
        <v>0</v>
      </c>
      <c r="BB37" s="4">
        <v>0</v>
      </c>
      <c r="BC37" s="16">
        <v>0</v>
      </c>
      <c r="BD37" s="4">
        <v>0</v>
      </c>
      <c r="BE37" s="4"/>
      <c r="BF37" s="4">
        <f t="shared" si="22"/>
        <v>18</v>
      </c>
      <c r="BG37" s="16">
        <f t="shared" si="23"/>
        <v>42500</v>
      </c>
      <c r="BH37" s="4">
        <f t="shared" si="24"/>
        <v>3</v>
      </c>
      <c r="BI37" s="4">
        <f t="shared" si="25"/>
        <v>28.5</v>
      </c>
      <c r="BJ37" s="16">
        <f t="shared" si="26"/>
        <v>157500</v>
      </c>
      <c r="BK37" s="4">
        <f t="shared" si="27"/>
        <v>6</v>
      </c>
      <c r="BL37" s="4">
        <f t="shared" si="28"/>
        <v>60</v>
      </c>
      <c r="BM37" s="16">
        <f t="shared" si="29"/>
        <v>90000</v>
      </c>
      <c r="BN37" s="4">
        <f t="shared" si="30"/>
        <v>3</v>
      </c>
      <c r="BO37" s="4">
        <f t="shared" si="31"/>
        <v>672</v>
      </c>
      <c r="BP37" s="16">
        <f t="shared" si="32"/>
        <v>1008000</v>
      </c>
      <c r="BQ37" s="4">
        <f t="shared" si="33"/>
        <v>4</v>
      </c>
      <c r="BR37" s="4">
        <f t="shared" si="34"/>
        <v>3</v>
      </c>
      <c r="BS37" s="16">
        <f t="shared" si="35"/>
        <v>207142.86</v>
      </c>
      <c r="BT37" s="4">
        <f t="shared" si="36"/>
        <v>3</v>
      </c>
      <c r="BU37" s="4">
        <f t="shared" si="15"/>
        <v>778.5</v>
      </c>
      <c r="BV37" s="16">
        <f t="shared" si="16"/>
        <v>1505142.8599999999</v>
      </c>
      <c r="BW37" s="4">
        <f t="shared" si="17"/>
        <v>19</v>
      </c>
    </row>
    <row r="38" spans="1:75" x14ac:dyDescent="0.25">
      <c r="A38" s="2" t="s">
        <v>36</v>
      </c>
      <c r="B38" s="4">
        <v>2020</v>
      </c>
      <c r="C38" s="4">
        <v>0</v>
      </c>
      <c r="D38" s="4" t="str">
        <f t="shared" si="18"/>
        <v>$0.00</v>
      </c>
      <c r="E38" s="16">
        <v>0</v>
      </c>
      <c r="F38" s="4">
        <v>0</v>
      </c>
      <c r="G38" s="4">
        <v>0</v>
      </c>
      <c r="H38" s="4" t="str">
        <f t="shared" si="19"/>
        <v>$0.00</v>
      </c>
      <c r="I38" s="16">
        <v>0</v>
      </c>
      <c r="J38" s="4">
        <v>0</v>
      </c>
      <c r="K38" s="4">
        <v>0</v>
      </c>
      <c r="L38" s="4" t="str">
        <f t="shared" si="20"/>
        <v>$0.00</v>
      </c>
      <c r="M38" s="16">
        <v>0</v>
      </c>
      <c r="N38" s="4">
        <v>0</v>
      </c>
      <c r="O38" s="4">
        <v>0</v>
      </c>
      <c r="P38" s="4" t="str">
        <f t="shared" si="21"/>
        <v>$0.00</v>
      </c>
      <c r="Q38" s="16">
        <v>0</v>
      </c>
      <c r="R38" s="4">
        <v>0</v>
      </c>
      <c r="S38" s="4">
        <v>0</v>
      </c>
      <c r="T38" s="16">
        <v>0</v>
      </c>
      <c r="U38" s="4">
        <v>0</v>
      </c>
      <c r="V38" s="4" t="s">
        <v>38</v>
      </c>
      <c r="W38" s="4">
        <v>2021</v>
      </c>
      <c r="X38" s="4">
        <v>19.45</v>
      </c>
      <c r="Y38" s="16">
        <v>48625</v>
      </c>
      <c r="Z38" s="4">
        <v>3</v>
      </c>
      <c r="AA38" s="4">
        <v>2.5</v>
      </c>
      <c r="AB38" s="16">
        <v>12500</v>
      </c>
      <c r="AC38" s="4">
        <v>1</v>
      </c>
      <c r="AD38" s="4">
        <v>6</v>
      </c>
      <c r="AE38" s="16">
        <v>9000</v>
      </c>
      <c r="AF38" s="4">
        <v>3</v>
      </c>
      <c r="AG38" s="4">
        <v>160</v>
      </c>
      <c r="AH38" s="16">
        <v>240000</v>
      </c>
      <c r="AI38" s="4">
        <v>2</v>
      </c>
      <c r="AJ38" s="4">
        <v>0</v>
      </c>
      <c r="AK38" s="16">
        <v>0</v>
      </c>
      <c r="AL38" s="28">
        <v>0</v>
      </c>
      <c r="AM38" s="4"/>
      <c r="AN38" s="2" t="s">
        <v>37</v>
      </c>
      <c r="AO38" s="4">
        <v>2022</v>
      </c>
      <c r="AP38" s="4">
        <v>13</v>
      </c>
      <c r="AQ38" s="16">
        <v>32500</v>
      </c>
      <c r="AR38" s="4">
        <v>2</v>
      </c>
      <c r="AS38" s="4"/>
      <c r="AT38" s="16"/>
      <c r="AU38" s="4">
        <v>0</v>
      </c>
      <c r="AV38" s="4">
        <v>20</v>
      </c>
      <c r="AW38" s="16">
        <v>30000</v>
      </c>
      <c r="AX38" s="4">
        <v>1</v>
      </c>
      <c r="AY38" s="4">
        <v>264</v>
      </c>
      <c r="AZ38" s="16">
        <v>396000</v>
      </c>
      <c r="BA38" s="4">
        <v>2</v>
      </c>
      <c r="BB38" s="4">
        <v>1</v>
      </c>
      <c r="BC38" s="16">
        <v>100000</v>
      </c>
      <c r="BD38" s="4">
        <v>1</v>
      </c>
      <c r="BE38" s="4"/>
      <c r="BF38" s="4">
        <f t="shared" si="22"/>
        <v>75.260000000000005</v>
      </c>
      <c r="BG38" s="16">
        <f t="shared" si="23"/>
        <v>173035</v>
      </c>
      <c r="BH38" s="4">
        <f t="shared" si="24"/>
        <v>8</v>
      </c>
      <c r="BI38" s="4">
        <f t="shared" si="25"/>
        <v>8.5</v>
      </c>
      <c r="BJ38" s="16">
        <f t="shared" si="26"/>
        <v>42500</v>
      </c>
      <c r="BK38" s="4">
        <f t="shared" si="27"/>
        <v>4</v>
      </c>
      <c r="BL38" s="4">
        <f t="shared" si="28"/>
        <v>153</v>
      </c>
      <c r="BM38" s="16">
        <f t="shared" si="29"/>
        <v>229500</v>
      </c>
      <c r="BN38" s="4">
        <f t="shared" si="30"/>
        <v>14</v>
      </c>
      <c r="BO38" s="4">
        <f t="shared" si="31"/>
        <v>1349</v>
      </c>
      <c r="BP38" s="16">
        <f t="shared" si="32"/>
        <v>2023500</v>
      </c>
      <c r="BQ38" s="4">
        <f t="shared" si="33"/>
        <v>14</v>
      </c>
      <c r="BR38" s="4">
        <f t="shared" si="34"/>
        <v>1</v>
      </c>
      <c r="BS38" s="16">
        <f t="shared" si="35"/>
        <v>20000</v>
      </c>
      <c r="BT38" s="4">
        <f t="shared" si="36"/>
        <v>1</v>
      </c>
      <c r="BU38" s="4">
        <f t="shared" si="15"/>
        <v>1585.76</v>
      </c>
      <c r="BV38" s="16">
        <f t="shared" si="16"/>
        <v>2488535</v>
      </c>
      <c r="BW38" s="4">
        <f t="shared" si="17"/>
        <v>41</v>
      </c>
    </row>
    <row r="39" spans="1:75" x14ac:dyDescent="0.25">
      <c r="A39" s="2" t="s">
        <v>37</v>
      </c>
      <c r="B39" s="4">
        <v>2020</v>
      </c>
      <c r="C39" s="4">
        <v>5</v>
      </c>
      <c r="D39" s="4" t="str">
        <f t="shared" si="18"/>
        <v>$10,000.00</v>
      </c>
      <c r="E39" s="16">
        <v>10000</v>
      </c>
      <c r="F39" s="4">
        <v>1</v>
      </c>
      <c r="G39" s="4">
        <v>14.5</v>
      </c>
      <c r="H39" s="4" t="str">
        <f t="shared" si="19"/>
        <v>$72,500.00</v>
      </c>
      <c r="I39" s="16">
        <v>72500</v>
      </c>
      <c r="J39" s="4">
        <v>3</v>
      </c>
      <c r="K39" s="4">
        <v>20</v>
      </c>
      <c r="L39" s="4" t="str">
        <f t="shared" si="20"/>
        <v>$30,000.00</v>
      </c>
      <c r="M39" s="16">
        <v>30000</v>
      </c>
      <c r="N39" s="4">
        <v>1</v>
      </c>
      <c r="O39" s="4">
        <v>204</v>
      </c>
      <c r="P39" s="4" t="str">
        <f t="shared" si="21"/>
        <v>$306,000.00</v>
      </c>
      <c r="Q39" s="16">
        <v>306000</v>
      </c>
      <c r="R39" s="4">
        <v>1</v>
      </c>
      <c r="S39" s="4">
        <v>1</v>
      </c>
      <c r="T39" s="16">
        <v>77142.86</v>
      </c>
      <c r="U39" s="4">
        <v>1</v>
      </c>
      <c r="V39" s="4" t="s">
        <v>39</v>
      </c>
      <c r="W39" s="4">
        <v>2021</v>
      </c>
      <c r="X39" s="4">
        <v>13.5</v>
      </c>
      <c r="Y39" s="16">
        <v>33750</v>
      </c>
      <c r="Z39" s="4">
        <v>1</v>
      </c>
      <c r="AA39" s="4">
        <v>0</v>
      </c>
      <c r="AB39" s="16">
        <v>0</v>
      </c>
      <c r="AC39" s="4">
        <v>0</v>
      </c>
      <c r="AD39" s="4">
        <v>75</v>
      </c>
      <c r="AE39" s="16">
        <v>112500</v>
      </c>
      <c r="AF39" s="4">
        <v>1</v>
      </c>
      <c r="AG39" s="4">
        <v>0</v>
      </c>
      <c r="AH39" s="16">
        <v>0</v>
      </c>
      <c r="AI39" s="4">
        <v>0</v>
      </c>
      <c r="AJ39" s="4">
        <v>0</v>
      </c>
      <c r="AK39" s="16">
        <v>0</v>
      </c>
      <c r="AL39" s="28">
        <v>0</v>
      </c>
      <c r="AM39" s="4"/>
      <c r="AN39" s="2" t="s">
        <v>38</v>
      </c>
      <c r="AO39" s="4">
        <v>2022</v>
      </c>
      <c r="AP39" s="4">
        <v>11.81</v>
      </c>
      <c r="AQ39" s="16">
        <v>29525</v>
      </c>
      <c r="AR39" s="4">
        <v>2</v>
      </c>
      <c r="AS39" s="4">
        <v>3</v>
      </c>
      <c r="AT39" s="16">
        <v>15000</v>
      </c>
      <c r="AU39" s="4">
        <v>1</v>
      </c>
      <c r="AV39" s="4">
        <v>33</v>
      </c>
      <c r="AW39" s="16">
        <v>49500</v>
      </c>
      <c r="AX39" s="4">
        <v>6</v>
      </c>
      <c r="AY39" s="4">
        <v>539</v>
      </c>
      <c r="AZ39" s="16">
        <v>808500</v>
      </c>
      <c r="BA39" s="4">
        <v>6</v>
      </c>
      <c r="BB39" s="4">
        <v>1</v>
      </c>
      <c r="BC39" s="16">
        <v>20000</v>
      </c>
      <c r="BD39" s="4">
        <v>1</v>
      </c>
      <c r="BE39" s="4"/>
      <c r="BF39" s="4">
        <f t="shared" si="22"/>
        <v>13.5</v>
      </c>
      <c r="BG39" s="16">
        <f t="shared" si="23"/>
        <v>33750</v>
      </c>
      <c r="BH39" s="4">
        <f t="shared" si="24"/>
        <v>1</v>
      </c>
      <c r="BI39" s="4">
        <f t="shared" si="25"/>
        <v>0</v>
      </c>
      <c r="BJ39" s="16">
        <f t="shared" si="26"/>
        <v>0</v>
      </c>
      <c r="BK39" s="4">
        <f t="shared" si="27"/>
        <v>0</v>
      </c>
      <c r="BL39" s="4">
        <f t="shared" si="28"/>
        <v>206</v>
      </c>
      <c r="BM39" s="16">
        <f t="shared" si="29"/>
        <v>309000</v>
      </c>
      <c r="BN39" s="4">
        <f t="shared" si="30"/>
        <v>3</v>
      </c>
      <c r="BO39" s="4">
        <f t="shared" si="31"/>
        <v>0</v>
      </c>
      <c r="BP39" s="16">
        <f t="shared" si="32"/>
        <v>0</v>
      </c>
      <c r="BQ39" s="4">
        <f t="shared" si="33"/>
        <v>0</v>
      </c>
      <c r="BR39" s="4">
        <f t="shared" si="34"/>
        <v>0</v>
      </c>
      <c r="BS39" s="16">
        <f t="shared" si="35"/>
        <v>0</v>
      </c>
      <c r="BT39" s="4">
        <f t="shared" si="36"/>
        <v>0</v>
      </c>
      <c r="BU39" s="4">
        <f t="shared" si="15"/>
        <v>219.5</v>
      </c>
      <c r="BV39" s="16">
        <f t="shared" si="16"/>
        <v>342750</v>
      </c>
      <c r="BW39" s="4">
        <f t="shared" si="17"/>
        <v>4</v>
      </c>
    </row>
    <row r="40" spans="1:75" x14ac:dyDescent="0.25">
      <c r="A40" s="2" t="s">
        <v>38</v>
      </c>
      <c r="B40" s="4">
        <v>2020</v>
      </c>
      <c r="C40" s="4">
        <v>44</v>
      </c>
      <c r="D40" s="4" t="str">
        <f t="shared" si="18"/>
        <v>$94,885.00</v>
      </c>
      <c r="E40" s="16">
        <v>94885</v>
      </c>
      <c r="F40" s="4">
        <v>3</v>
      </c>
      <c r="G40" s="4">
        <v>3</v>
      </c>
      <c r="H40" s="4" t="str">
        <f t="shared" si="19"/>
        <v>$15,000.00</v>
      </c>
      <c r="I40" s="16">
        <v>15000</v>
      </c>
      <c r="J40" s="4">
        <v>2</v>
      </c>
      <c r="K40" s="4">
        <v>114</v>
      </c>
      <c r="L40" s="4" t="str">
        <f t="shared" si="20"/>
        <v>$171,000.00</v>
      </c>
      <c r="M40" s="16">
        <v>171000</v>
      </c>
      <c r="N40" s="4">
        <v>5</v>
      </c>
      <c r="O40" s="4">
        <v>650</v>
      </c>
      <c r="P40" s="4" t="str">
        <f t="shared" si="21"/>
        <v>$975,000.00</v>
      </c>
      <c r="Q40" s="16">
        <v>975000</v>
      </c>
      <c r="R40" s="4">
        <v>6</v>
      </c>
      <c r="S40" s="4">
        <v>0</v>
      </c>
      <c r="T40" s="16">
        <v>0</v>
      </c>
      <c r="U40" s="4">
        <v>0</v>
      </c>
      <c r="V40" s="4" t="s">
        <v>40</v>
      </c>
      <c r="W40" s="4">
        <v>2021</v>
      </c>
      <c r="X40" s="4">
        <v>48</v>
      </c>
      <c r="Y40" s="16">
        <v>120000</v>
      </c>
      <c r="Z40" s="4">
        <v>3</v>
      </c>
      <c r="AA40" s="4">
        <v>60.22</v>
      </c>
      <c r="AB40" s="16">
        <v>346100</v>
      </c>
      <c r="AC40" s="4">
        <v>32</v>
      </c>
      <c r="AD40" s="4">
        <v>0</v>
      </c>
      <c r="AE40" s="16">
        <v>0</v>
      </c>
      <c r="AF40" s="4">
        <v>0</v>
      </c>
      <c r="AG40" s="4">
        <v>285</v>
      </c>
      <c r="AH40" s="16">
        <v>427500</v>
      </c>
      <c r="AI40" s="4">
        <v>1</v>
      </c>
      <c r="AJ40" s="4">
        <v>0</v>
      </c>
      <c r="AK40" s="16">
        <v>0</v>
      </c>
      <c r="AL40" s="28">
        <v>0</v>
      </c>
      <c r="AM40" s="4"/>
      <c r="AN40" s="2" t="s">
        <v>39</v>
      </c>
      <c r="AO40" s="4">
        <v>2022</v>
      </c>
      <c r="AP40" s="4">
        <v>0</v>
      </c>
      <c r="AQ40" s="16">
        <v>0</v>
      </c>
      <c r="AR40" s="4">
        <v>0</v>
      </c>
      <c r="AS40" s="4"/>
      <c r="AT40" s="16"/>
      <c r="AU40" s="4">
        <v>0</v>
      </c>
      <c r="AV40" s="4">
        <v>66</v>
      </c>
      <c r="AW40" s="16">
        <v>99000</v>
      </c>
      <c r="AX40" s="4">
        <v>1</v>
      </c>
      <c r="AY40" s="4">
        <v>0</v>
      </c>
      <c r="AZ40" s="16">
        <v>0</v>
      </c>
      <c r="BA40" s="4">
        <v>0</v>
      </c>
      <c r="BB40" s="4">
        <v>0</v>
      </c>
      <c r="BC40" s="16">
        <v>0</v>
      </c>
      <c r="BD40" s="4">
        <v>0</v>
      </c>
      <c r="BE40" s="4"/>
      <c r="BF40" s="4">
        <f t="shared" si="22"/>
        <v>268.56</v>
      </c>
      <c r="BG40" s="16">
        <f t="shared" si="23"/>
        <v>645175</v>
      </c>
      <c r="BH40" s="4">
        <f t="shared" si="24"/>
        <v>28</v>
      </c>
      <c r="BI40" s="4">
        <f t="shared" si="25"/>
        <v>95.039999999999992</v>
      </c>
      <c r="BJ40" s="16">
        <f t="shared" si="26"/>
        <v>520200</v>
      </c>
      <c r="BK40" s="4">
        <f t="shared" si="27"/>
        <v>47</v>
      </c>
      <c r="BL40" s="4">
        <f t="shared" si="28"/>
        <v>0</v>
      </c>
      <c r="BM40" s="16">
        <f t="shared" si="29"/>
        <v>0</v>
      </c>
      <c r="BN40" s="4">
        <f t="shared" si="30"/>
        <v>0</v>
      </c>
      <c r="BO40" s="4">
        <f t="shared" si="31"/>
        <v>1150.32</v>
      </c>
      <c r="BP40" s="16">
        <f t="shared" si="32"/>
        <v>1725480</v>
      </c>
      <c r="BQ40" s="4">
        <f t="shared" si="33"/>
        <v>6</v>
      </c>
      <c r="BR40" s="4">
        <f t="shared" si="34"/>
        <v>0</v>
      </c>
      <c r="BS40" s="16">
        <f t="shared" si="35"/>
        <v>0</v>
      </c>
      <c r="BT40" s="4">
        <f t="shared" si="36"/>
        <v>0</v>
      </c>
      <c r="BU40" s="4">
        <f t="shared" si="15"/>
        <v>1513.92</v>
      </c>
      <c r="BV40" s="16">
        <f t="shared" si="16"/>
        <v>2890855</v>
      </c>
      <c r="BW40" s="4">
        <f t="shared" si="17"/>
        <v>81</v>
      </c>
    </row>
    <row r="41" spans="1:75" x14ac:dyDescent="0.25">
      <c r="A41" s="2" t="s">
        <v>39</v>
      </c>
      <c r="B41" s="4">
        <v>2020</v>
      </c>
      <c r="C41" s="4">
        <v>0</v>
      </c>
      <c r="D41" s="4" t="str">
        <f t="shared" si="18"/>
        <v>$0.00</v>
      </c>
      <c r="E41" s="16">
        <v>0</v>
      </c>
      <c r="F41" s="4">
        <v>0</v>
      </c>
      <c r="G41" s="4">
        <v>0</v>
      </c>
      <c r="H41" s="4" t="str">
        <f t="shared" si="19"/>
        <v>$0.00</v>
      </c>
      <c r="I41" s="16">
        <v>0</v>
      </c>
      <c r="J41" s="4">
        <v>0</v>
      </c>
      <c r="K41" s="4">
        <v>65</v>
      </c>
      <c r="L41" s="4" t="str">
        <f t="shared" si="20"/>
        <v>$97,500.00</v>
      </c>
      <c r="M41" s="16">
        <v>97500</v>
      </c>
      <c r="N41" s="4">
        <v>1</v>
      </c>
      <c r="O41" s="4">
        <v>0</v>
      </c>
      <c r="P41" s="4" t="str">
        <f t="shared" si="21"/>
        <v>$0.00</v>
      </c>
      <c r="Q41" s="16">
        <v>0</v>
      </c>
      <c r="R41" s="4">
        <v>0</v>
      </c>
      <c r="S41" s="4">
        <v>0</v>
      </c>
      <c r="T41" s="16">
        <v>0</v>
      </c>
      <c r="U41" s="4">
        <v>0</v>
      </c>
      <c r="V41" s="4" t="s">
        <v>41</v>
      </c>
      <c r="W41" s="4">
        <v>2021</v>
      </c>
      <c r="X41" s="4">
        <v>0</v>
      </c>
      <c r="Y41" s="16">
        <v>0</v>
      </c>
      <c r="Z41" s="4">
        <v>0</v>
      </c>
      <c r="AA41" s="4">
        <v>0</v>
      </c>
      <c r="AB41" s="16">
        <v>0</v>
      </c>
      <c r="AC41" s="4">
        <v>0</v>
      </c>
      <c r="AD41" s="4">
        <v>0</v>
      </c>
      <c r="AE41" s="16">
        <v>0</v>
      </c>
      <c r="AF41" s="4">
        <v>0</v>
      </c>
      <c r="AG41" s="4">
        <v>608.03</v>
      </c>
      <c r="AH41" s="16">
        <v>912045</v>
      </c>
      <c r="AI41" s="4">
        <v>4</v>
      </c>
      <c r="AJ41" s="4">
        <v>0</v>
      </c>
      <c r="AK41" s="16">
        <v>0</v>
      </c>
      <c r="AL41" s="28">
        <v>0</v>
      </c>
      <c r="AM41" s="4"/>
      <c r="AN41" s="2" t="s">
        <v>40</v>
      </c>
      <c r="AO41" s="4">
        <v>2022</v>
      </c>
      <c r="AP41" s="4">
        <v>160.31</v>
      </c>
      <c r="AQ41" s="16">
        <v>400775</v>
      </c>
      <c r="AR41" s="4">
        <v>3</v>
      </c>
      <c r="AS41" s="4"/>
      <c r="AT41" s="16"/>
      <c r="AU41" s="4">
        <v>0</v>
      </c>
      <c r="AV41" s="4">
        <v>0</v>
      </c>
      <c r="AW41" s="16">
        <v>0</v>
      </c>
      <c r="AX41" s="4">
        <v>0</v>
      </c>
      <c r="AY41" s="4">
        <v>501</v>
      </c>
      <c r="AZ41" s="16">
        <v>751500</v>
      </c>
      <c r="BA41" s="4">
        <v>3</v>
      </c>
      <c r="BB41" s="4">
        <v>0</v>
      </c>
      <c r="BC41" s="16">
        <v>0</v>
      </c>
      <c r="BD41" s="4">
        <v>0</v>
      </c>
      <c r="BE41" s="4"/>
      <c r="BF41" s="4">
        <f t="shared" si="22"/>
        <v>10.3</v>
      </c>
      <c r="BG41" s="16">
        <f t="shared" si="23"/>
        <v>20600</v>
      </c>
      <c r="BH41" s="4">
        <f t="shared" si="24"/>
        <v>1</v>
      </c>
      <c r="BI41" s="4">
        <f t="shared" si="25"/>
        <v>0</v>
      </c>
      <c r="BJ41" s="16">
        <f t="shared" si="26"/>
        <v>0</v>
      </c>
      <c r="BK41" s="4">
        <f t="shared" si="27"/>
        <v>0</v>
      </c>
      <c r="BL41" s="4">
        <f t="shared" si="28"/>
        <v>0</v>
      </c>
      <c r="BM41" s="16">
        <f t="shared" si="29"/>
        <v>0</v>
      </c>
      <c r="BN41" s="4">
        <f t="shared" si="30"/>
        <v>0</v>
      </c>
      <c r="BO41" s="4">
        <f t="shared" si="31"/>
        <v>1490.09</v>
      </c>
      <c r="BP41" s="16">
        <f t="shared" si="32"/>
        <v>2235135</v>
      </c>
      <c r="BQ41" s="4">
        <f t="shared" si="33"/>
        <v>11</v>
      </c>
      <c r="BR41" s="4">
        <f t="shared" si="34"/>
        <v>0</v>
      </c>
      <c r="BS41" s="16">
        <f t="shared" si="35"/>
        <v>0</v>
      </c>
      <c r="BT41" s="4">
        <f t="shared" si="36"/>
        <v>0</v>
      </c>
      <c r="BU41" s="4">
        <f t="shared" si="15"/>
        <v>1500.3899999999999</v>
      </c>
      <c r="BV41" s="16">
        <f t="shared" si="16"/>
        <v>2255735</v>
      </c>
      <c r="BW41" s="4">
        <f t="shared" si="17"/>
        <v>12</v>
      </c>
    </row>
    <row r="42" spans="1:75" x14ac:dyDescent="0.25">
      <c r="A42" s="2" t="s">
        <v>40</v>
      </c>
      <c r="B42" s="4">
        <v>2020</v>
      </c>
      <c r="C42" s="4">
        <v>60.25</v>
      </c>
      <c r="D42" s="4" t="str">
        <f t="shared" si="18"/>
        <v>$124,400.00</v>
      </c>
      <c r="E42" s="16">
        <v>124400</v>
      </c>
      <c r="F42" s="4">
        <v>22</v>
      </c>
      <c r="G42" s="4">
        <v>34.82</v>
      </c>
      <c r="H42" s="4" t="str">
        <f t="shared" si="19"/>
        <v>$174,100.00</v>
      </c>
      <c r="I42" s="16">
        <v>174100</v>
      </c>
      <c r="J42" s="4">
        <v>15</v>
      </c>
      <c r="K42" s="4">
        <v>0</v>
      </c>
      <c r="L42" s="4" t="str">
        <f t="shared" si="20"/>
        <v>$0.00</v>
      </c>
      <c r="M42" s="16">
        <v>0</v>
      </c>
      <c r="N42" s="4">
        <v>0</v>
      </c>
      <c r="O42" s="4">
        <v>364.32</v>
      </c>
      <c r="P42" s="4" t="str">
        <f t="shared" si="21"/>
        <v>$546,480.00</v>
      </c>
      <c r="Q42" s="16">
        <v>546480</v>
      </c>
      <c r="R42" s="4">
        <v>2</v>
      </c>
      <c r="S42" s="4">
        <v>0</v>
      </c>
      <c r="T42" s="16">
        <v>0</v>
      </c>
      <c r="U42" s="4">
        <v>0</v>
      </c>
      <c r="V42" s="4" t="s">
        <v>42</v>
      </c>
      <c r="W42" s="4">
        <v>2021</v>
      </c>
      <c r="X42" s="4">
        <v>0</v>
      </c>
      <c r="Y42" s="16">
        <v>0</v>
      </c>
      <c r="Z42" s="4">
        <v>0</v>
      </c>
      <c r="AA42" s="4">
        <v>0</v>
      </c>
      <c r="AB42" s="16">
        <v>0</v>
      </c>
      <c r="AC42" s="4">
        <v>0</v>
      </c>
      <c r="AD42" s="4">
        <v>0</v>
      </c>
      <c r="AE42" s="16">
        <v>0</v>
      </c>
      <c r="AF42" s="4">
        <v>0</v>
      </c>
      <c r="AG42" s="4">
        <v>90</v>
      </c>
      <c r="AH42" s="16">
        <v>135000</v>
      </c>
      <c r="AI42" s="4">
        <v>1</v>
      </c>
      <c r="AJ42" s="4">
        <v>0</v>
      </c>
      <c r="AK42" s="16">
        <v>0</v>
      </c>
      <c r="AL42" s="28">
        <v>0</v>
      </c>
      <c r="AM42" s="4"/>
      <c r="AN42" s="2" t="s">
        <v>41</v>
      </c>
      <c r="AO42" s="4">
        <v>2022</v>
      </c>
      <c r="AP42" s="4">
        <v>0</v>
      </c>
      <c r="AQ42" s="16">
        <v>0</v>
      </c>
      <c r="AR42" s="4">
        <v>0</v>
      </c>
      <c r="AS42" s="4"/>
      <c r="AT42" s="16"/>
      <c r="AU42" s="4">
        <v>0</v>
      </c>
      <c r="AV42" s="4">
        <v>0</v>
      </c>
      <c r="AW42" s="16">
        <v>0</v>
      </c>
      <c r="AX42" s="4">
        <v>0</v>
      </c>
      <c r="AY42" s="4">
        <v>574.03</v>
      </c>
      <c r="AZ42" s="16">
        <v>861045</v>
      </c>
      <c r="BA42" s="4">
        <v>4</v>
      </c>
      <c r="BB42" s="4">
        <v>0</v>
      </c>
      <c r="BC42" s="16">
        <v>0</v>
      </c>
      <c r="BD42" s="4">
        <v>0</v>
      </c>
      <c r="BE42" s="4"/>
      <c r="BF42" s="4">
        <f t="shared" si="22"/>
        <v>18</v>
      </c>
      <c r="BG42" s="16">
        <f t="shared" si="23"/>
        <v>45000</v>
      </c>
      <c r="BH42" s="4">
        <f t="shared" si="24"/>
        <v>1</v>
      </c>
      <c r="BI42" s="4">
        <f t="shared" si="25"/>
        <v>1</v>
      </c>
      <c r="BJ42" s="16">
        <f t="shared" si="26"/>
        <v>5000</v>
      </c>
      <c r="BK42" s="4">
        <f t="shared" si="27"/>
        <v>1</v>
      </c>
      <c r="BL42" s="4">
        <f t="shared" si="28"/>
        <v>80</v>
      </c>
      <c r="BM42" s="16">
        <f t="shared" si="29"/>
        <v>120000</v>
      </c>
      <c r="BN42" s="4">
        <f t="shared" si="30"/>
        <v>2</v>
      </c>
      <c r="BO42" s="4">
        <f t="shared" si="31"/>
        <v>588</v>
      </c>
      <c r="BP42" s="16">
        <f t="shared" si="32"/>
        <v>882000</v>
      </c>
      <c r="BQ42" s="4">
        <f t="shared" si="33"/>
        <v>5</v>
      </c>
      <c r="BR42" s="4">
        <f t="shared" si="34"/>
        <v>0</v>
      </c>
      <c r="BS42" s="16">
        <f t="shared" si="35"/>
        <v>0</v>
      </c>
      <c r="BT42" s="4">
        <f t="shared" si="36"/>
        <v>0</v>
      </c>
      <c r="BU42" s="4">
        <f t="shared" si="15"/>
        <v>687</v>
      </c>
      <c r="BV42" s="16">
        <f t="shared" si="16"/>
        <v>1052000</v>
      </c>
      <c r="BW42" s="4">
        <f t="shared" si="17"/>
        <v>9</v>
      </c>
    </row>
    <row r="43" spans="1:75" x14ac:dyDescent="0.25">
      <c r="A43" s="2" t="s">
        <v>41</v>
      </c>
      <c r="B43" s="4">
        <v>2020</v>
      </c>
      <c r="C43" s="4">
        <v>10.3</v>
      </c>
      <c r="D43" s="4" t="str">
        <f t="shared" si="18"/>
        <v>$20,600.00</v>
      </c>
      <c r="E43" s="16">
        <v>20600</v>
      </c>
      <c r="F43" s="4">
        <v>1</v>
      </c>
      <c r="G43" s="4">
        <v>0</v>
      </c>
      <c r="H43" s="4" t="str">
        <f t="shared" si="19"/>
        <v>$0.00</v>
      </c>
      <c r="I43" s="16">
        <v>0</v>
      </c>
      <c r="J43" s="4">
        <v>0</v>
      </c>
      <c r="K43" s="4">
        <v>0</v>
      </c>
      <c r="L43" s="4" t="str">
        <f t="shared" si="20"/>
        <v>$0.00</v>
      </c>
      <c r="M43" s="16">
        <v>0</v>
      </c>
      <c r="N43" s="4">
        <v>0</v>
      </c>
      <c r="O43" s="4">
        <v>308.02999999999997</v>
      </c>
      <c r="P43" s="4" t="str">
        <f t="shared" si="21"/>
        <v>$462,045.00</v>
      </c>
      <c r="Q43" s="16">
        <v>462044.99999999994</v>
      </c>
      <c r="R43" s="4">
        <v>3</v>
      </c>
      <c r="S43" s="4">
        <v>0</v>
      </c>
      <c r="T43" s="16">
        <v>0</v>
      </c>
      <c r="U43" s="4">
        <v>0</v>
      </c>
      <c r="V43" s="4" t="s">
        <v>43</v>
      </c>
      <c r="W43" s="4">
        <v>2021</v>
      </c>
      <c r="X43" s="4">
        <v>118</v>
      </c>
      <c r="Y43" s="16">
        <v>295000</v>
      </c>
      <c r="Z43" s="4">
        <v>3</v>
      </c>
      <c r="AA43" s="4">
        <v>25.4</v>
      </c>
      <c r="AB43" s="16">
        <v>127000</v>
      </c>
      <c r="AC43" s="4">
        <v>7</v>
      </c>
      <c r="AD43" s="4">
        <v>91</v>
      </c>
      <c r="AE43" s="16">
        <v>136500</v>
      </c>
      <c r="AF43" s="4">
        <v>3</v>
      </c>
      <c r="AG43" s="4">
        <v>2608.0600000000004</v>
      </c>
      <c r="AH43" s="16">
        <v>3912090.0000000005</v>
      </c>
      <c r="AI43" s="4">
        <v>8</v>
      </c>
      <c r="AJ43" s="4">
        <v>1</v>
      </c>
      <c r="AK43" s="16">
        <v>20000</v>
      </c>
      <c r="AL43" s="28">
        <v>1</v>
      </c>
      <c r="AM43" s="4"/>
      <c r="AN43" s="2" t="s">
        <v>42</v>
      </c>
      <c r="AO43" s="4">
        <v>2022</v>
      </c>
      <c r="AP43" s="4">
        <v>18</v>
      </c>
      <c r="AQ43" s="16">
        <v>45000</v>
      </c>
      <c r="AR43" s="4">
        <v>1</v>
      </c>
      <c r="AS43" s="4"/>
      <c r="AT43" s="16"/>
      <c r="AU43" s="4">
        <v>0</v>
      </c>
      <c r="AV43" s="4">
        <v>30</v>
      </c>
      <c r="AW43" s="16">
        <v>45000</v>
      </c>
      <c r="AX43" s="4">
        <v>1</v>
      </c>
      <c r="AY43" s="4">
        <v>408</v>
      </c>
      <c r="AZ43" s="16">
        <v>612000</v>
      </c>
      <c r="BA43" s="4">
        <v>3</v>
      </c>
      <c r="BB43" s="4">
        <v>0</v>
      </c>
      <c r="BC43" s="16">
        <v>0</v>
      </c>
      <c r="BD43" s="4">
        <v>0</v>
      </c>
      <c r="BE43" s="4"/>
      <c r="BF43" s="4">
        <f t="shared" si="22"/>
        <v>541</v>
      </c>
      <c r="BG43" s="16">
        <f t="shared" si="23"/>
        <v>1247500</v>
      </c>
      <c r="BH43" s="4">
        <f t="shared" si="24"/>
        <v>7</v>
      </c>
      <c r="BI43" s="4">
        <f t="shared" si="25"/>
        <v>53.55</v>
      </c>
      <c r="BJ43" s="16">
        <f t="shared" si="26"/>
        <v>267750</v>
      </c>
      <c r="BK43" s="4">
        <f t="shared" si="27"/>
        <v>13</v>
      </c>
      <c r="BL43" s="4">
        <f t="shared" si="28"/>
        <v>254</v>
      </c>
      <c r="BM43" s="16">
        <f t="shared" si="29"/>
        <v>381000</v>
      </c>
      <c r="BN43" s="4">
        <f t="shared" si="30"/>
        <v>8</v>
      </c>
      <c r="BO43" s="4">
        <f t="shared" si="31"/>
        <v>6021.18</v>
      </c>
      <c r="BP43" s="16">
        <f t="shared" si="32"/>
        <v>9031770</v>
      </c>
      <c r="BQ43" s="4">
        <f t="shared" si="33"/>
        <v>20</v>
      </c>
      <c r="BR43" s="4">
        <f t="shared" si="34"/>
        <v>4</v>
      </c>
      <c r="BS43" s="16">
        <f t="shared" si="35"/>
        <v>297142.86</v>
      </c>
      <c r="BT43" s="4">
        <f t="shared" si="36"/>
        <v>4</v>
      </c>
      <c r="BU43" s="4">
        <f t="shared" si="15"/>
        <v>6869.7300000000005</v>
      </c>
      <c r="BV43" s="16">
        <f t="shared" si="16"/>
        <v>11225162.859999999</v>
      </c>
      <c r="BW43" s="4">
        <f t="shared" si="17"/>
        <v>52</v>
      </c>
    </row>
    <row r="44" spans="1:75" x14ac:dyDescent="0.25">
      <c r="A44" s="2" t="s">
        <v>42</v>
      </c>
      <c r="B44" s="4">
        <v>2020</v>
      </c>
      <c r="C44" s="4">
        <v>0</v>
      </c>
      <c r="D44" s="4" t="str">
        <f t="shared" si="18"/>
        <v>$0.00</v>
      </c>
      <c r="E44" s="16">
        <v>0</v>
      </c>
      <c r="F44" s="4">
        <v>0</v>
      </c>
      <c r="G44" s="4">
        <v>1</v>
      </c>
      <c r="H44" s="4" t="str">
        <f t="shared" si="19"/>
        <v>$5,000.00</v>
      </c>
      <c r="I44" s="16">
        <v>5000</v>
      </c>
      <c r="J44" s="4">
        <v>1</v>
      </c>
      <c r="K44" s="4">
        <v>50</v>
      </c>
      <c r="L44" s="4" t="str">
        <f t="shared" si="20"/>
        <v>$75,000.00</v>
      </c>
      <c r="M44" s="16">
        <v>75000</v>
      </c>
      <c r="N44" s="4">
        <v>1</v>
      </c>
      <c r="O44" s="4">
        <v>90</v>
      </c>
      <c r="P44" s="4" t="str">
        <f t="shared" si="21"/>
        <v>$135,000.00</v>
      </c>
      <c r="Q44" s="16">
        <v>135000</v>
      </c>
      <c r="R44" s="4">
        <v>1</v>
      </c>
      <c r="S44" s="4">
        <v>0</v>
      </c>
      <c r="T44" s="16">
        <v>0</v>
      </c>
      <c r="U44" s="4">
        <v>0</v>
      </c>
      <c r="V44" s="4" t="s">
        <v>44</v>
      </c>
      <c r="W44" s="4">
        <v>2021</v>
      </c>
      <c r="X44" s="4">
        <v>0</v>
      </c>
      <c r="Y44" s="16">
        <v>0</v>
      </c>
      <c r="Z44" s="4">
        <v>0</v>
      </c>
      <c r="AA44" s="4">
        <v>1</v>
      </c>
      <c r="AB44" s="16">
        <v>5000</v>
      </c>
      <c r="AC44" s="4">
        <v>1</v>
      </c>
      <c r="AD44" s="4">
        <v>0</v>
      </c>
      <c r="AE44" s="16">
        <v>0</v>
      </c>
      <c r="AF44" s="4">
        <v>0</v>
      </c>
      <c r="AG44" s="4">
        <v>40</v>
      </c>
      <c r="AH44" s="16">
        <v>60000</v>
      </c>
      <c r="AI44" s="4">
        <v>1</v>
      </c>
      <c r="AJ44" s="4">
        <v>0</v>
      </c>
      <c r="AK44" s="16">
        <v>0</v>
      </c>
      <c r="AL44" s="28">
        <v>0</v>
      </c>
      <c r="AM44" s="4"/>
      <c r="AN44" s="2" t="s">
        <v>43</v>
      </c>
      <c r="AO44" s="4">
        <v>2022</v>
      </c>
      <c r="AP44" s="4">
        <v>213</v>
      </c>
      <c r="AQ44" s="16">
        <v>532500</v>
      </c>
      <c r="AR44" s="4">
        <v>2</v>
      </c>
      <c r="AS44" s="4">
        <v>10</v>
      </c>
      <c r="AT44" s="16">
        <v>50000</v>
      </c>
      <c r="AU44" s="4">
        <v>2</v>
      </c>
      <c r="AV44" s="4">
        <v>69</v>
      </c>
      <c r="AW44" s="16">
        <v>103500</v>
      </c>
      <c r="AX44" s="4">
        <v>3</v>
      </c>
      <c r="AY44" s="4">
        <v>1173.06</v>
      </c>
      <c r="AZ44" s="16">
        <v>1759590</v>
      </c>
      <c r="BA44" s="4">
        <v>4</v>
      </c>
      <c r="BB44" s="4">
        <v>2</v>
      </c>
      <c r="BC44" s="16">
        <v>200000</v>
      </c>
      <c r="BD44" s="4">
        <v>2</v>
      </c>
      <c r="BE44" s="4"/>
      <c r="BF44" s="4">
        <f t="shared" si="22"/>
        <v>0</v>
      </c>
      <c r="BG44" s="16">
        <f t="shared" si="23"/>
        <v>0</v>
      </c>
      <c r="BH44" s="4">
        <f t="shared" si="24"/>
        <v>0</v>
      </c>
      <c r="BI44" s="4">
        <f t="shared" si="25"/>
        <v>47</v>
      </c>
      <c r="BJ44" s="16">
        <f t="shared" si="26"/>
        <v>235000</v>
      </c>
      <c r="BK44" s="4">
        <f t="shared" si="27"/>
        <v>2</v>
      </c>
      <c r="BL44" s="4">
        <f t="shared" si="28"/>
        <v>0</v>
      </c>
      <c r="BM44" s="16">
        <f t="shared" si="29"/>
        <v>0</v>
      </c>
      <c r="BN44" s="4">
        <f t="shared" si="30"/>
        <v>0</v>
      </c>
      <c r="BO44" s="4">
        <f t="shared" si="31"/>
        <v>40</v>
      </c>
      <c r="BP44" s="16">
        <f t="shared" si="32"/>
        <v>60000</v>
      </c>
      <c r="BQ44" s="4">
        <f t="shared" si="33"/>
        <v>1</v>
      </c>
      <c r="BR44" s="4">
        <f t="shared" si="34"/>
        <v>0</v>
      </c>
      <c r="BS44" s="16">
        <f t="shared" si="35"/>
        <v>0</v>
      </c>
      <c r="BT44" s="4">
        <f t="shared" si="36"/>
        <v>0</v>
      </c>
      <c r="BU44" s="4">
        <f t="shared" si="15"/>
        <v>87</v>
      </c>
      <c r="BV44" s="16">
        <f t="shared" si="16"/>
        <v>295000</v>
      </c>
      <c r="BW44" s="4">
        <f t="shared" si="17"/>
        <v>3</v>
      </c>
    </row>
    <row r="45" spans="1:75" x14ac:dyDescent="0.25">
      <c r="A45" s="2" t="s">
        <v>43</v>
      </c>
      <c r="B45" s="4">
        <v>2020</v>
      </c>
      <c r="C45" s="4">
        <v>210</v>
      </c>
      <c r="D45" s="4" t="str">
        <f t="shared" si="18"/>
        <v>$420,000.00</v>
      </c>
      <c r="E45" s="16">
        <v>420000</v>
      </c>
      <c r="F45" s="4">
        <v>2</v>
      </c>
      <c r="G45" s="4">
        <v>18.149999999999999</v>
      </c>
      <c r="H45" s="4" t="str">
        <f t="shared" si="19"/>
        <v>$90,750.00</v>
      </c>
      <c r="I45" s="16">
        <v>90750</v>
      </c>
      <c r="J45" s="4">
        <v>4</v>
      </c>
      <c r="K45" s="4">
        <v>94</v>
      </c>
      <c r="L45" s="4" t="str">
        <f t="shared" si="20"/>
        <v>$141,000.00</v>
      </c>
      <c r="M45" s="16">
        <v>141000</v>
      </c>
      <c r="N45" s="4">
        <v>2</v>
      </c>
      <c r="O45" s="4">
        <v>2240.0600000000004</v>
      </c>
      <c r="P45" s="4" t="str">
        <f t="shared" si="21"/>
        <v>$3,360,090.00</v>
      </c>
      <c r="Q45" s="16">
        <v>3360090.0000000005</v>
      </c>
      <c r="R45" s="4">
        <v>8</v>
      </c>
      <c r="S45" s="4">
        <v>1</v>
      </c>
      <c r="T45" s="16">
        <v>77142.86</v>
      </c>
      <c r="U45" s="4">
        <v>1</v>
      </c>
      <c r="V45" s="4" t="s">
        <v>45</v>
      </c>
      <c r="W45" s="4">
        <v>2021</v>
      </c>
      <c r="X45" s="4">
        <v>7</v>
      </c>
      <c r="Y45" s="16">
        <v>17500</v>
      </c>
      <c r="Z45" s="4">
        <v>1</v>
      </c>
      <c r="AA45" s="4">
        <v>7.01</v>
      </c>
      <c r="AB45" s="16">
        <v>35050</v>
      </c>
      <c r="AC45" s="4">
        <v>3</v>
      </c>
      <c r="AD45" s="4">
        <v>0</v>
      </c>
      <c r="AE45" s="16">
        <v>0</v>
      </c>
      <c r="AF45" s="4">
        <v>0</v>
      </c>
      <c r="AG45" s="4">
        <v>321</v>
      </c>
      <c r="AH45" s="16">
        <v>481500</v>
      </c>
      <c r="AI45" s="4">
        <v>2</v>
      </c>
      <c r="AJ45" s="4">
        <v>0</v>
      </c>
      <c r="AK45" s="16">
        <v>0</v>
      </c>
      <c r="AL45" s="28">
        <v>0</v>
      </c>
      <c r="AM45" s="4"/>
      <c r="AN45" s="2" t="s">
        <v>44</v>
      </c>
      <c r="AO45" s="4">
        <v>2022</v>
      </c>
      <c r="AP45" s="4">
        <v>0</v>
      </c>
      <c r="AQ45" s="16">
        <v>0</v>
      </c>
      <c r="AR45" s="4">
        <v>0</v>
      </c>
      <c r="AS45" s="4">
        <v>46</v>
      </c>
      <c r="AT45" s="16">
        <v>230000</v>
      </c>
      <c r="AU45" s="4">
        <v>1</v>
      </c>
      <c r="AV45" s="4">
        <v>0</v>
      </c>
      <c r="AW45" s="16">
        <v>0</v>
      </c>
      <c r="AX45" s="4">
        <v>0</v>
      </c>
      <c r="AY45" s="4">
        <v>0</v>
      </c>
      <c r="AZ45" s="16">
        <v>0</v>
      </c>
      <c r="BA45" s="4">
        <v>0</v>
      </c>
      <c r="BB45" s="4">
        <v>0</v>
      </c>
      <c r="BC45" s="16">
        <v>0</v>
      </c>
      <c r="BD45" s="4">
        <v>0</v>
      </c>
      <c r="BE45" s="4"/>
      <c r="BF45" s="4">
        <f t="shared" si="22"/>
        <v>30</v>
      </c>
      <c r="BG45" s="16">
        <f t="shared" si="23"/>
        <v>67000</v>
      </c>
      <c r="BH45" s="4">
        <f t="shared" si="24"/>
        <v>3</v>
      </c>
      <c r="BI45" s="4">
        <f t="shared" si="25"/>
        <v>7.01</v>
      </c>
      <c r="BJ45" s="16">
        <f t="shared" si="26"/>
        <v>35050</v>
      </c>
      <c r="BK45" s="4">
        <f t="shared" si="27"/>
        <v>3</v>
      </c>
      <c r="BL45" s="4">
        <f t="shared" si="28"/>
        <v>0</v>
      </c>
      <c r="BM45" s="16">
        <f t="shared" si="29"/>
        <v>0</v>
      </c>
      <c r="BN45" s="4">
        <f t="shared" si="30"/>
        <v>0</v>
      </c>
      <c r="BO45" s="4">
        <f t="shared" si="31"/>
        <v>1021</v>
      </c>
      <c r="BP45" s="16">
        <f t="shared" si="32"/>
        <v>1531500</v>
      </c>
      <c r="BQ45" s="4">
        <f t="shared" si="33"/>
        <v>6</v>
      </c>
      <c r="BR45" s="4">
        <f t="shared" si="34"/>
        <v>2</v>
      </c>
      <c r="BS45" s="16">
        <f t="shared" si="35"/>
        <v>50000</v>
      </c>
      <c r="BT45" s="4">
        <f t="shared" si="36"/>
        <v>2</v>
      </c>
      <c r="BU45" s="4">
        <f t="shared" si="15"/>
        <v>1058.01</v>
      </c>
      <c r="BV45" s="16">
        <f t="shared" si="16"/>
        <v>1683550</v>
      </c>
      <c r="BW45" s="4">
        <f t="shared" si="17"/>
        <v>14</v>
      </c>
    </row>
    <row r="46" spans="1:75" x14ac:dyDescent="0.25">
      <c r="A46" s="2" t="s">
        <v>44</v>
      </c>
      <c r="B46" s="4">
        <v>2020</v>
      </c>
      <c r="C46" s="4">
        <v>0</v>
      </c>
      <c r="D46" s="4" t="str">
        <f t="shared" si="18"/>
        <v>$0.00</v>
      </c>
      <c r="E46" s="16">
        <v>0</v>
      </c>
      <c r="F46" s="4">
        <v>0</v>
      </c>
      <c r="G46" s="4">
        <v>0</v>
      </c>
      <c r="H46" s="4" t="str">
        <f t="shared" si="19"/>
        <v>$0.00</v>
      </c>
      <c r="I46" s="16">
        <v>0</v>
      </c>
      <c r="J46" s="4">
        <v>0</v>
      </c>
      <c r="K46" s="4">
        <v>0</v>
      </c>
      <c r="L46" s="4" t="str">
        <f t="shared" si="20"/>
        <v>$0.00</v>
      </c>
      <c r="M46" s="16">
        <v>0</v>
      </c>
      <c r="N46" s="4">
        <v>0</v>
      </c>
      <c r="O46" s="4">
        <v>0</v>
      </c>
      <c r="P46" s="4" t="str">
        <f t="shared" si="21"/>
        <v>$0.00</v>
      </c>
      <c r="Q46" s="16">
        <v>0</v>
      </c>
      <c r="R46" s="4">
        <v>0</v>
      </c>
      <c r="S46" s="4">
        <v>0</v>
      </c>
      <c r="T46" s="16">
        <v>0</v>
      </c>
      <c r="U46" s="4">
        <v>0</v>
      </c>
      <c r="V46" s="4" t="s">
        <v>46</v>
      </c>
      <c r="W46" s="4">
        <v>2021</v>
      </c>
      <c r="X46" s="4">
        <v>18.5</v>
      </c>
      <c r="Y46" s="16">
        <v>46250</v>
      </c>
      <c r="Z46" s="4">
        <v>3</v>
      </c>
      <c r="AA46" s="4">
        <v>8</v>
      </c>
      <c r="AB46" s="16">
        <v>40000</v>
      </c>
      <c r="AC46" s="4">
        <v>1</v>
      </c>
      <c r="AD46" s="4">
        <v>62</v>
      </c>
      <c r="AE46" s="16">
        <v>93000</v>
      </c>
      <c r="AF46" s="4">
        <v>5</v>
      </c>
      <c r="AG46" s="4">
        <v>20</v>
      </c>
      <c r="AH46" s="16">
        <v>30000</v>
      </c>
      <c r="AI46" s="4">
        <v>1</v>
      </c>
      <c r="AJ46" s="4">
        <v>0</v>
      </c>
      <c r="AK46" s="16">
        <v>0</v>
      </c>
      <c r="AL46" s="28">
        <v>0</v>
      </c>
      <c r="AM46" s="4"/>
      <c r="AN46" s="2" t="s">
        <v>45</v>
      </c>
      <c r="AO46" s="4">
        <v>2022</v>
      </c>
      <c r="AP46" s="4">
        <v>7</v>
      </c>
      <c r="AQ46" s="16">
        <v>17500</v>
      </c>
      <c r="AR46" s="4">
        <v>1</v>
      </c>
      <c r="AS46" s="4"/>
      <c r="AT46" s="16"/>
      <c r="AU46" s="4">
        <v>0</v>
      </c>
      <c r="AV46" s="4">
        <v>0</v>
      </c>
      <c r="AW46" s="16">
        <v>0</v>
      </c>
      <c r="AX46" s="4">
        <v>0</v>
      </c>
      <c r="AY46" s="4">
        <v>476</v>
      </c>
      <c r="AZ46" s="16">
        <v>714000</v>
      </c>
      <c r="BA46" s="4">
        <v>3</v>
      </c>
      <c r="BB46" s="4">
        <v>2</v>
      </c>
      <c r="BC46" s="16">
        <v>50000</v>
      </c>
      <c r="BD46" s="4">
        <v>2</v>
      </c>
      <c r="BE46" s="4"/>
      <c r="BF46" s="4">
        <f t="shared" si="22"/>
        <v>30.5</v>
      </c>
      <c r="BG46" s="16">
        <f t="shared" si="23"/>
        <v>75750</v>
      </c>
      <c r="BH46" s="4">
        <f t="shared" si="24"/>
        <v>6</v>
      </c>
      <c r="BI46" s="4">
        <f t="shared" si="25"/>
        <v>8</v>
      </c>
      <c r="BJ46" s="16">
        <f t="shared" si="26"/>
        <v>40000</v>
      </c>
      <c r="BK46" s="4">
        <f t="shared" si="27"/>
        <v>1</v>
      </c>
      <c r="BL46" s="4">
        <f t="shared" si="28"/>
        <v>173</v>
      </c>
      <c r="BM46" s="16">
        <f t="shared" si="29"/>
        <v>259500</v>
      </c>
      <c r="BN46" s="4">
        <f t="shared" si="30"/>
        <v>11</v>
      </c>
      <c r="BO46" s="4">
        <f t="shared" si="31"/>
        <v>65</v>
      </c>
      <c r="BP46" s="16">
        <f t="shared" si="32"/>
        <v>97500</v>
      </c>
      <c r="BQ46" s="4">
        <f t="shared" si="33"/>
        <v>2</v>
      </c>
      <c r="BR46" s="4">
        <f t="shared" si="34"/>
        <v>0</v>
      </c>
      <c r="BS46" s="16">
        <f t="shared" si="35"/>
        <v>0</v>
      </c>
      <c r="BT46" s="4">
        <f t="shared" si="36"/>
        <v>0</v>
      </c>
      <c r="BU46" s="4">
        <f t="shared" si="15"/>
        <v>276.5</v>
      </c>
      <c r="BV46" s="16">
        <f t="shared" si="16"/>
        <v>472750</v>
      </c>
      <c r="BW46" s="4">
        <f t="shared" si="17"/>
        <v>20</v>
      </c>
    </row>
    <row r="47" spans="1:75" x14ac:dyDescent="0.25">
      <c r="A47" s="2" t="s">
        <v>45</v>
      </c>
      <c r="B47" s="4">
        <v>2020</v>
      </c>
      <c r="C47" s="4">
        <v>16</v>
      </c>
      <c r="D47" s="4" t="str">
        <f t="shared" si="18"/>
        <v>$32,000.00</v>
      </c>
      <c r="E47" s="16">
        <v>32000</v>
      </c>
      <c r="F47" s="4">
        <v>1</v>
      </c>
      <c r="G47" s="4">
        <v>0</v>
      </c>
      <c r="H47" s="4" t="str">
        <f t="shared" si="19"/>
        <v>$0.00</v>
      </c>
      <c r="I47" s="16">
        <v>0</v>
      </c>
      <c r="J47" s="4">
        <v>0</v>
      </c>
      <c r="K47" s="4">
        <v>0</v>
      </c>
      <c r="L47" s="4" t="str">
        <f t="shared" si="20"/>
        <v>$0.00</v>
      </c>
      <c r="M47" s="16">
        <v>0</v>
      </c>
      <c r="N47" s="4">
        <v>0</v>
      </c>
      <c r="O47" s="4">
        <v>224</v>
      </c>
      <c r="P47" s="4" t="str">
        <f t="shared" si="21"/>
        <v>$336,000.00</v>
      </c>
      <c r="Q47" s="16">
        <v>336000</v>
      </c>
      <c r="R47" s="4">
        <v>1</v>
      </c>
      <c r="S47" s="4">
        <v>0</v>
      </c>
      <c r="T47" s="16">
        <v>0</v>
      </c>
      <c r="U47" s="4">
        <v>0</v>
      </c>
      <c r="V47" s="4" t="s">
        <v>47</v>
      </c>
      <c r="W47" s="4">
        <v>2021</v>
      </c>
      <c r="X47" s="4">
        <v>0</v>
      </c>
      <c r="Y47" s="16">
        <v>0</v>
      </c>
      <c r="Z47" s="4">
        <v>0</v>
      </c>
      <c r="AA47" s="4">
        <v>0</v>
      </c>
      <c r="AB47" s="16">
        <v>0</v>
      </c>
      <c r="AC47" s="4">
        <v>0</v>
      </c>
      <c r="AD47" s="4">
        <v>0</v>
      </c>
      <c r="AE47" s="16">
        <v>0</v>
      </c>
      <c r="AF47" s="4">
        <v>0</v>
      </c>
      <c r="AG47" s="4">
        <v>0</v>
      </c>
      <c r="AH47" s="16">
        <v>0</v>
      </c>
      <c r="AI47" s="4">
        <v>0</v>
      </c>
      <c r="AJ47" s="4">
        <v>0</v>
      </c>
      <c r="AK47" s="16">
        <v>0</v>
      </c>
      <c r="AL47" s="28">
        <v>0</v>
      </c>
      <c r="AM47" s="4"/>
      <c r="AN47" s="2" t="s">
        <v>46</v>
      </c>
      <c r="AO47" s="4">
        <v>2022</v>
      </c>
      <c r="AP47" s="4">
        <v>11</v>
      </c>
      <c r="AQ47" s="16">
        <v>27500</v>
      </c>
      <c r="AR47" s="4">
        <v>2</v>
      </c>
      <c r="AS47" s="4"/>
      <c r="AT47" s="16"/>
      <c r="AU47" s="4">
        <v>0</v>
      </c>
      <c r="AV47" s="4">
        <v>66</v>
      </c>
      <c r="AW47" s="16">
        <v>99000</v>
      </c>
      <c r="AX47" s="4">
        <v>4</v>
      </c>
      <c r="AY47" s="4">
        <v>45</v>
      </c>
      <c r="AZ47" s="16">
        <v>67500</v>
      </c>
      <c r="BA47" s="4">
        <v>1</v>
      </c>
      <c r="BB47" s="4">
        <v>0</v>
      </c>
      <c r="BC47" s="16">
        <v>0</v>
      </c>
      <c r="BD47" s="4">
        <v>0</v>
      </c>
      <c r="BE47" s="4"/>
      <c r="BF47" s="4">
        <f t="shared" si="22"/>
        <v>0</v>
      </c>
      <c r="BG47" s="16">
        <f t="shared" si="23"/>
        <v>0</v>
      </c>
      <c r="BH47" s="4">
        <f t="shared" si="24"/>
        <v>0</v>
      </c>
      <c r="BI47" s="4">
        <f t="shared" si="25"/>
        <v>0</v>
      </c>
      <c r="BJ47" s="16">
        <f t="shared" si="26"/>
        <v>0</v>
      </c>
      <c r="BK47" s="4">
        <f t="shared" si="27"/>
        <v>0</v>
      </c>
      <c r="BL47" s="4">
        <f t="shared" si="28"/>
        <v>0</v>
      </c>
      <c r="BM47" s="16">
        <f t="shared" si="29"/>
        <v>0</v>
      </c>
      <c r="BN47" s="4">
        <f t="shared" si="30"/>
        <v>0</v>
      </c>
      <c r="BO47" s="4">
        <f t="shared" si="31"/>
        <v>0</v>
      </c>
      <c r="BP47" s="16">
        <f t="shared" si="32"/>
        <v>0</v>
      </c>
      <c r="BQ47" s="4">
        <f t="shared" si="33"/>
        <v>0</v>
      </c>
      <c r="BR47" s="4">
        <f t="shared" si="34"/>
        <v>0</v>
      </c>
      <c r="BS47" s="16">
        <f t="shared" si="35"/>
        <v>0</v>
      </c>
      <c r="BT47" s="4">
        <f t="shared" si="36"/>
        <v>0</v>
      </c>
      <c r="BU47" s="4">
        <f t="shared" si="15"/>
        <v>0</v>
      </c>
      <c r="BV47" s="16">
        <f t="shared" si="16"/>
        <v>0</v>
      </c>
      <c r="BW47" s="4">
        <f t="shared" si="17"/>
        <v>0</v>
      </c>
    </row>
    <row r="48" spans="1:75" x14ac:dyDescent="0.25">
      <c r="A48" s="2" t="s">
        <v>46</v>
      </c>
      <c r="B48" s="4">
        <v>2020</v>
      </c>
      <c r="C48" s="4">
        <v>1</v>
      </c>
      <c r="D48" s="4" t="str">
        <f t="shared" si="18"/>
        <v>$2,000.00</v>
      </c>
      <c r="E48" s="16">
        <v>2000</v>
      </c>
      <c r="F48" s="4">
        <v>1</v>
      </c>
      <c r="G48" s="4">
        <v>0</v>
      </c>
      <c r="H48" s="4" t="str">
        <f t="shared" si="19"/>
        <v>$0.00</v>
      </c>
      <c r="I48" s="16">
        <v>0</v>
      </c>
      <c r="J48" s="4">
        <v>0</v>
      </c>
      <c r="K48" s="4">
        <v>45</v>
      </c>
      <c r="L48" s="4" t="str">
        <f t="shared" si="20"/>
        <v>$67,500.00</v>
      </c>
      <c r="M48" s="16">
        <v>67500</v>
      </c>
      <c r="N48" s="4">
        <v>2</v>
      </c>
      <c r="O48" s="4">
        <v>0</v>
      </c>
      <c r="P48" s="4" t="str">
        <f t="shared" si="21"/>
        <v>$0.00</v>
      </c>
      <c r="Q48" s="16">
        <v>0</v>
      </c>
      <c r="R48" s="4">
        <v>0</v>
      </c>
      <c r="S48" s="4">
        <v>0</v>
      </c>
      <c r="T48" s="16">
        <v>0</v>
      </c>
      <c r="U48" s="4">
        <v>0</v>
      </c>
      <c r="V48" s="4" t="s">
        <v>48</v>
      </c>
      <c r="W48" s="4">
        <v>2021</v>
      </c>
      <c r="X48" s="4">
        <v>25</v>
      </c>
      <c r="Y48" s="16">
        <v>62500</v>
      </c>
      <c r="Z48" s="4">
        <v>4</v>
      </c>
      <c r="AA48" s="4">
        <v>20.399999999999999</v>
      </c>
      <c r="AB48" s="16">
        <v>102000</v>
      </c>
      <c r="AC48" s="4">
        <v>5</v>
      </c>
      <c r="AD48" s="4">
        <v>33</v>
      </c>
      <c r="AE48" s="16">
        <v>49500</v>
      </c>
      <c r="AF48" s="4">
        <v>8</v>
      </c>
      <c r="AG48" s="4">
        <v>547</v>
      </c>
      <c r="AH48" s="16">
        <v>820500</v>
      </c>
      <c r="AI48" s="4">
        <v>4</v>
      </c>
      <c r="AJ48" s="4">
        <v>1</v>
      </c>
      <c r="AK48" s="16">
        <v>65000</v>
      </c>
      <c r="AL48" s="28">
        <v>1</v>
      </c>
      <c r="AM48" s="4"/>
      <c r="AN48" s="2" t="s">
        <v>47</v>
      </c>
      <c r="AO48" s="4">
        <v>2022</v>
      </c>
      <c r="AP48" s="4">
        <v>0</v>
      </c>
      <c r="AQ48" s="16">
        <v>0</v>
      </c>
      <c r="AR48" s="4">
        <v>0</v>
      </c>
      <c r="AS48" s="4"/>
      <c r="AT48" s="16"/>
      <c r="AU48" s="4">
        <v>0</v>
      </c>
      <c r="AV48" s="4">
        <v>0</v>
      </c>
      <c r="AW48" s="16">
        <v>0</v>
      </c>
      <c r="AX48" s="4">
        <v>0</v>
      </c>
      <c r="AY48" s="4">
        <v>0</v>
      </c>
      <c r="AZ48" s="16">
        <v>0</v>
      </c>
      <c r="BA48" s="4">
        <v>0</v>
      </c>
      <c r="BB48" s="4">
        <v>0</v>
      </c>
      <c r="BC48" s="16">
        <v>0</v>
      </c>
      <c r="BD48" s="4">
        <v>0</v>
      </c>
      <c r="BE48" s="4"/>
      <c r="BF48" s="4">
        <f t="shared" si="22"/>
        <v>96.8</v>
      </c>
      <c r="BG48" s="16">
        <f t="shared" si="23"/>
        <v>223250</v>
      </c>
      <c r="BH48" s="4">
        <f t="shared" si="24"/>
        <v>10</v>
      </c>
      <c r="BI48" s="4">
        <f t="shared" si="25"/>
        <v>55.4</v>
      </c>
      <c r="BJ48" s="16">
        <f t="shared" si="26"/>
        <v>277000</v>
      </c>
      <c r="BK48" s="4">
        <f t="shared" si="27"/>
        <v>8</v>
      </c>
      <c r="BL48" s="4">
        <f t="shared" si="28"/>
        <v>158</v>
      </c>
      <c r="BM48" s="16">
        <f t="shared" si="29"/>
        <v>237000</v>
      </c>
      <c r="BN48" s="4">
        <f t="shared" si="30"/>
        <v>17</v>
      </c>
      <c r="BO48" s="4">
        <f t="shared" si="31"/>
        <v>2231</v>
      </c>
      <c r="BP48" s="16">
        <f t="shared" si="32"/>
        <v>3346500</v>
      </c>
      <c r="BQ48" s="4">
        <f t="shared" si="33"/>
        <v>13</v>
      </c>
      <c r="BR48" s="4">
        <f t="shared" si="34"/>
        <v>2</v>
      </c>
      <c r="BS48" s="16">
        <f t="shared" si="35"/>
        <v>85000</v>
      </c>
      <c r="BT48" s="4">
        <f t="shared" si="36"/>
        <v>2</v>
      </c>
      <c r="BU48" s="4">
        <f t="shared" si="15"/>
        <v>2541.1999999999998</v>
      </c>
      <c r="BV48" s="16">
        <f t="shared" si="16"/>
        <v>4168750</v>
      </c>
      <c r="BW48" s="4">
        <f t="shared" si="17"/>
        <v>50</v>
      </c>
    </row>
    <row r="49" spans="1:75" x14ac:dyDescent="0.25">
      <c r="A49" s="2" t="s">
        <v>47</v>
      </c>
      <c r="B49" s="4">
        <v>2020</v>
      </c>
      <c r="C49" s="4">
        <v>0</v>
      </c>
      <c r="D49" s="4" t="str">
        <f t="shared" si="18"/>
        <v>$0.00</v>
      </c>
      <c r="E49" s="16">
        <v>0</v>
      </c>
      <c r="F49" s="4">
        <v>0</v>
      </c>
      <c r="G49" s="4">
        <v>0</v>
      </c>
      <c r="H49" s="4" t="str">
        <f t="shared" si="19"/>
        <v>$0.00</v>
      </c>
      <c r="I49" s="16">
        <v>0</v>
      </c>
      <c r="J49" s="4">
        <v>0</v>
      </c>
      <c r="K49" s="4">
        <v>0</v>
      </c>
      <c r="L49" s="4" t="str">
        <f t="shared" si="20"/>
        <v>$0.00</v>
      </c>
      <c r="M49" s="16">
        <v>0</v>
      </c>
      <c r="N49" s="4">
        <v>0</v>
      </c>
      <c r="O49" s="4">
        <v>0</v>
      </c>
      <c r="P49" s="4" t="str">
        <f t="shared" si="21"/>
        <v>$0.00</v>
      </c>
      <c r="Q49" s="16">
        <v>0</v>
      </c>
      <c r="R49" s="4">
        <v>0</v>
      </c>
      <c r="S49" s="4">
        <v>0</v>
      </c>
      <c r="T49" s="16">
        <v>0</v>
      </c>
      <c r="U49" s="4">
        <v>0</v>
      </c>
      <c r="V49" s="4" t="s">
        <v>49</v>
      </c>
      <c r="W49" s="4">
        <v>2021</v>
      </c>
      <c r="X49" s="4">
        <v>37.700000000000003</v>
      </c>
      <c r="Y49" s="16">
        <v>94250</v>
      </c>
      <c r="Z49" s="4">
        <v>3</v>
      </c>
      <c r="AA49" s="4">
        <v>14.79</v>
      </c>
      <c r="AB49" s="16">
        <v>73950</v>
      </c>
      <c r="AC49" s="4">
        <v>3</v>
      </c>
      <c r="AD49" s="4">
        <v>58</v>
      </c>
      <c r="AE49" s="16">
        <v>87000</v>
      </c>
      <c r="AF49" s="4">
        <v>2</v>
      </c>
      <c r="AG49" s="4">
        <v>895</v>
      </c>
      <c r="AH49" s="16">
        <v>1342500</v>
      </c>
      <c r="AI49" s="4">
        <v>6</v>
      </c>
      <c r="AJ49" s="4">
        <v>4</v>
      </c>
      <c r="AK49" s="16">
        <v>430000</v>
      </c>
      <c r="AL49" s="28">
        <v>4</v>
      </c>
      <c r="AM49" s="4"/>
      <c r="AN49" s="2" t="s">
        <v>48</v>
      </c>
      <c r="AO49" s="4">
        <v>2022</v>
      </c>
      <c r="AP49" s="4">
        <v>34.299999999999997</v>
      </c>
      <c r="AQ49" s="16">
        <v>85750</v>
      </c>
      <c r="AR49" s="4">
        <v>3</v>
      </c>
      <c r="AS49" s="4"/>
      <c r="AT49" s="16"/>
      <c r="AU49" s="4">
        <v>0</v>
      </c>
      <c r="AV49" s="4">
        <v>66</v>
      </c>
      <c r="AW49" s="16">
        <v>99000</v>
      </c>
      <c r="AX49" s="4">
        <v>5</v>
      </c>
      <c r="AY49" s="4">
        <v>857</v>
      </c>
      <c r="AZ49" s="16">
        <v>1285500</v>
      </c>
      <c r="BA49" s="4">
        <v>5</v>
      </c>
      <c r="BB49" s="4">
        <v>1</v>
      </c>
      <c r="BC49" s="16">
        <v>20000</v>
      </c>
      <c r="BD49" s="4">
        <v>1</v>
      </c>
      <c r="BE49" s="4"/>
      <c r="BF49" s="4">
        <f t="shared" si="22"/>
        <v>101.25</v>
      </c>
      <c r="BG49" s="16">
        <f t="shared" si="23"/>
        <v>225125</v>
      </c>
      <c r="BH49" s="4">
        <f t="shared" si="24"/>
        <v>7</v>
      </c>
      <c r="BI49" s="4">
        <f t="shared" si="25"/>
        <v>49.79</v>
      </c>
      <c r="BJ49" s="16">
        <f t="shared" si="26"/>
        <v>248950</v>
      </c>
      <c r="BK49" s="4">
        <f t="shared" si="27"/>
        <v>6</v>
      </c>
      <c r="BL49" s="4">
        <f t="shared" si="28"/>
        <v>140</v>
      </c>
      <c r="BM49" s="16">
        <f t="shared" si="29"/>
        <v>210000</v>
      </c>
      <c r="BN49" s="4">
        <f t="shared" si="30"/>
        <v>6</v>
      </c>
      <c r="BO49" s="4">
        <f t="shared" si="31"/>
        <v>2455</v>
      </c>
      <c r="BP49" s="16">
        <f t="shared" si="32"/>
        <v>3682500</v>
      </c>
      <c r="BQ49" s="4">
        <f t="shared" si="33"/>
        <v>16</v>
      </c>
      <c r="BR49" s="4">
        <f t="shared" si="34"/>
        <v>4</v>
      </c>
      <c r="BS49" s="16">
        <f t="shared" si="35"/>
        <v>430000</v>
      </c>
      <c r="BT49" s="4">
        <f t="shared" si="36"/>
        <v>4</v>
      </c>
      <c r="BU49" s="4">
        <f t="shared" si="15"/>
        <v>2746.04</v>
      </c>
      <c r="BV49" s="16">
        <f t="shared" si="16"/>
        <v>4796575</v>
      </c>
      <c r="BW49" s="4">
        <f t="shared" si="17"/>
        <v>39</v>
      </c>
    </row>
    <row r="50" spans="1:75" x14ac:dyDescent="0.25">
      <c r="A50" s="2" t="s">
        <v>48</v>
      </c>
      <c r="B50" s="4">
        <v>2020</v>
      </c>
      <c r="C50" s="4">
        <v>37.5</v>
      </c>
      <c r="D50" s="4" t="str">
        <f t="shared" si="18"/>
        <v>$75,000.00</v>
      </c>
      <c r="E50" s="16">
        <v>75000</v>
      </c>
      <c r="F50" s="4">
        <v>3</v>
      </c>
      <c r="G50" s="4">
        <v>35</v>
      </c>
      <c r="H50" s="4" t="str">
        <f t="shared" si="19"/>
        <v>$175,000.00</v>
      </c>
      <c r="I50" s="16">
        <v>175000</v>
      </c>
      <c r="J50" s="4">
        <v>3</v>
      </c>
      <c r="K50" s="4">
        <v>59</v>
      </c>
      <c r="L50" s="4" t="str">
        <f t="shared" si="20"/>
        <v>$88,500.00</v>
      </c>
      <c r="M50" s="16">
        <v>88500</v>
      </c>
      <c r="N50" s="4">
        <v>4</v>
      </c>
      <c r="O50" s="4">
        <v>827</v>
      </c>
      <c r="P50" s="4" t="str">
        <f t="shared" si="21"/>
        <v>$1,240,500.00</v>
      </c>
      <c r="Q50" s="16">
        <v>1240500</v>
      </c>
      <c r="R50" s="4">
        <v>4</v>
      </c>
      <c r="S50" s="4">
        <v>0</v>
      </c>
      <c r="T50" s="16">
        <v>0</v>
      </c>
      <c r="U50" s="4">
        <v>0</v>
      </c>
      <c r="V50" s="4" t="s">
        <v>50</v>
      </c>
      <c r="W50" s="4">
        <v>2021</v>
      </c>
      <c r="X50" s="4">
        <v>4.75</v>
      </c>
      <c r="Y50" s="16">
        <v>11875</v>
      </c>
      <c r="Z50" s="4">
        <v>4</v>
      </c>
      <c r="AA50" s="4">
        <v>3.8</v>
      </c>
      <c r="AB50" s="16">
        <v>19000</v>
      </c>
      <c r="AC50" s="4">
        <v>3</v>
      </c>
      <c r="AD50" s="4">
        <v>3</v>
      </c>
      <c r="AE50" s="16">
        <v>4500</v>
      </c>
      <c r="AF50" s="4">
        <v>2</v>
      </c>
      <c r="AG50" s="4">
        <v>542</v>
      </c>
      <c r="AH50" s="16">
        <v>813000</v>
      </c>
      <c r="AI50" s="4">
        <v>3</v>
      </c>
      <c r="AJ50" s="4">
        <v>1</v>
      </c>
      <c r="AK50" s="16">
        <v>25000</v>
      </c>
      <c r="AL50" s="28">
        <v>1</v>
      </c>
      <c r="AM50" s="4"/>
      <c r="AN50" s="2" t="s">
        <v>49</v>
      </c>
      <c r="AO50" s="4">
        <v>2022</v>
      </c>
      <c r="AP50" s="4">
        <v>7.55</v>
      </c>
      <c r="AQ50" s="16">
        <v>18875</v>
      </c>
      <c r="AR50" s="4">
        <v>2</v>
      </c>
      <c r="AS50" s="4"/>
      <c r="AT50" s="16"/>
      <c r="AU50" s="4">
        <v>0</v>
      </c>
      <c r="AV50" s="4">
        <v>47</v>
      </c>
      <c r="AW50" s="16">
        <v>70500</v>
      </c>
      <c r="AX50" s="4">
        <v>2</v>
      </c>
      <c r="AY50" s="4">
        <v>843</v>
      </c>
      <c r="AZ50" s="16">
        <v>1264500</v>
      </c>
      <c r="BA50" s="4">
        <v>5</v>
      </c>
      <c r="BB50" s="4">
        <v>0</v>
      </c>
      <c r="BC50" s="16">
        <v>0</v>
      </c>
      <c r="BD50" s="4">
        <v>0</v>
      </c>
      <c r="BE50" s="4"/>
      <c r="BF50" s="4">
        <f t="shared" si="22"/>
        <v>22.75</v>
      </c>
      <c r="BG50" s="16">
        <f t="shared" si="23"/>
        <v>56125</v>
      </c>
      <c r="BH50" s="4">
        <f t="shared" si="24"/>
        <v>9</v>
      </c>
      <c r="BI50" s="4">
        <f t="shared" si="25"/>
        <v>5.8</v>
      </c>
      <c r="BJ50" s="16">
        <f t="shared" si="26"/>
        <v>29000</v>
      </c>
      <c r="BK50" s="4">
        <f t="shared" si="27"/>
        <v>5</v>
      </c>
      <c r="BL50" s="4">
        <f t="shared" si="28"/>
        <v>7</v>
      </c>
      <c r="BM50" s="16">
        <f t="shared" si="29"/>
        <v>10500</v>
      </c>
      <c r="BN50" s="4">
        <f t="shared" si="30"/>
        <v>4</v>
      </c>
      <c r="BO50" s="4">
        <f t="shared" si="31"/>
        <v>1657</v>
      </c>
      <c r="BP50" s="16">
        <f t="shared" si="32"/>
        <v>2485500</v>
      </c>
      <c r="BQ50" s="4">
        <f t="shared" si="33"/>
        <v>11</v>
      </c>
      <c r="BR50" s="4">
        <f t="shared" si="34"/>
        <v>1</v>
      </c>
      <c r="BS50" s="16">
        <f t="shared" si="35"/>
        <v>25000</v>
      </c>
      <c r="BT50" s="4">
        <f t="shared" si="36"/>
        <v>1</v>
      </c>
      <c r="BU50" s="4">
        <f t="shared" si="15"/>
        <v>1692.55</v>
      </c>
      <c r="BV50" s="16">
        <f t="shared" si="16"/>
        <v>2606125</v>
      </c>
      <c r="BW50" s="4">
        <f t="shared" si="17"/>
        <v>30</v>
      </c>
    </row>
    <row r="51" spans="1:75" x14ac:dyDescent="0.25">
      <c r="A51" s="2" t="s">
        <v>49</v>
      </c>
      <c r="B51" s="4">
        <v>2020</v>
      </c>
      <c r="C51" s="4">
        <v>56</v>
      </c>
      <c r="D51" s="4" t="str">
        <f t="shared" si="18"/>
        <v>$112,000.00</v>
      </c>
      <c r="E51" s="16">
        <v>112000</v>
      </c>
      <c r="F51" s="4">
        <v>2</v>
      </c>
      <c r="G51" s="4">
        <v>35</v>
      </c>
      <c r="H51" s="4" t="str">
        <f t="shared" si="19"/>
        <v>$175,000.00</v>
      </c>
      <c r="I51" s="16">
        <v>175000</v>
      </c>
      <c r="J51" s="4">
        <v>3</v>
      </c>
      <c r="K51" s="4">
        <v>35</v>
      </c>
      <c r="L51" s="4" t="str">
        <f t="shared" si="20"/>
        <v>$52,500.00</v>
      </c>
      <c r="M51" s="16">
        <v>52500</v>
      </c>
      <c r="N51" s="4">
        <v>2</v>
      </c>
      <c r="O51" s="4">
        <v>717</v>
      </c>
      <c r="P51" s="4" t="str">
        <f t="shared" si="21"/>
        <v>$1,075,500.00</v>
      </c>
      <c r="Q51" s="16">
        <v>1075500</v>
      </c>
      <c r="R51" s="4">
        <v>5</v>
      </c>
      <c r="S51" s="4">
        <v>0</v>
      </c>
      <c r="T51" s="16">
        <v>0</v>
      </c>
      <c r="U51" s="4">
        <v>0</v>
      </c>
      <c r="V51" s="4" t="s">
        <v>128</v>
      </c>
      <c r="W51" s="4">
        <v>2021</v>
      </c>
      <c r="X51" s="4">
        <v>12</v>
      </c>
      <c r="Y51" s="16">
        <v>30000</v>
      </c>
      <c r="Z51" s="4">
        <v>1</v>
      </c>
      <c r="AA51" s="4">
        <v>0</v>
      </c>
      <c r="AB51" s="16">
        <v>0</v>
      </c>
      <c r="AC51" s="4">
        <v>0</v>
      </c>
      <c r="AD51" s="4">
        <v>3</v>
      </c>
      <c r="AE51" s="16">
        <v>4500</v>
      </c>
      <c r="AF51" s="4">
        <v>1</v>
      </c>
      <c r="AG51" s="4">
        <v>558</v>
      </c>
      <c r="AH51" s="16">
        <v>837000</v>
      </c>
      <c r="AI51" s="4">
        <v>4</v>
      </c>
      <c r="AJ51" s="4">
        <v>0</v>
      </c>
      <c r="AK51" s="16">
        <v>0</v>
      </c>
      <c r="AL51" s="28">
        <v>0</v>
      </c>
      <c r="AM51" s="4"/>
      <c r="AN51" s="2" t="s">
        <v>50</v>
      </c>
      <c r="AO51" s="4">
        <v>2022</v>
      </c>
      <c r="AP51" s="4">
        <v>16.5</v>
      </c>
      <c r="AQ51" s="16">
        <v>41250</v>
      </c>
      <c r="AR51" s="4">
        <v>4</v>
      </c>
      <c r="AS51" s="4"/>
      <c r="AT51" s="16"/>
      <c r="AU51" s="4">
        <v>0</v>
      </c>
      <c r="AV51" s="4">
        <v>2</v>
      </c>
      <c r="AW51" s="16">
        <v>3000</v>
      </c>
      <c r="AX51" s="4">
        <v>1</v>
      </c>
      <c r="AY51" s="4">
        <v>638</v>
      </c>
      <c r="AZ51" s="16">
        <v>957000</v>
      </c>
      <c r="BA51" s="4">
        <v>4</v>
      </c>
      <c r="BB51" s="4">
        <v>0</v>
      </c>
      <c r="BC51" s="16">
        <v>0</v>
      </c>
      <c r="BD51" s="4">
        <v>0</v>
      </c>
      <c r="BE51" s="4"/>
      <c r="BF51" s="4">
        <f t="shared" si="22"/>
        <v>60.25</v>
      </c>
      <c r="BG51" s="16">
        <f t="shared" si="23"/>
        <v>147325</v>
      </c>
      <c r="BH51" s="4">
        <f t="shared" si="24"/>
        <v>4</v>
      </c>
      <c r="BI51" s="4">
        <f t="shared" si="25"/>
        <v>20.6</v>
      </c>
      <c r="BJ51" s="16">
        <f t="shared" si="26"/>
        <v>103000</v>
      </c>
      <c r="BK51" s="4">
        <f t="shared" si="27"/>
        <v>7</v>
      </c>
      <c r="BL51" s="4">
        <f t="shared" si="28"/>
        <v>36</v>
      </c>
      <c r="BM51" s="16">
        <f t="shared" si="29"/>
        <v>54000</v>
      </c>
      <c r="BN51" s="4">
        <f t="shared" si="30"/>
        <v>5</v>
      </c>
      <c r="BO51" s="4">
        <f t="shared" si="31"/>
        <v>1322</v>
      </c>
      <c r="BP51" s="16">
        <f t="shared" si="32"/>
        <v>1983000</v>
      </c>
      <c r="BQ51" s="4">
        <f t="shared" si="33"/>
        <v>9</v>
      </c>
      <c r="BR51" s="4">
        <f t="shared" si="34"/>
        <v>0</v>
      </c>
      <c r="BS51" s="16">
        <f t="shared" si="35"/>
        <v>0</v>
      </c>
      <c r="BT51" s="4">
        <f t="shared" si="36"/>
        <v>0</v>
      </c>
      <c r="BU51" s="4">
        <f t="shared" si="15"/>
        <v>1438.85</v>
      </c>
      <c r="BV51" s="16">
        <f t="shared" si="16"/>
        <v>2287325</v>
      </c>
      <c r="BW51" s="4">
        <f t="shared" si="17"/>
        <v>25</v>
      </c>
    </row>
    <row r="52" spans="1:75" x14ac:dyDescent="0.25">
      <c r="A52" s="2" t="s">
        <v>50</v>
      </c>
      <c r="B52" s="4">
        <v>2020</v>
      </c>
      <c r="C52" s="4">
        <v>1.5</v>
      </c>
      <c r="D52" s="4" t="str">
        <f t="shared" si="18"/>
        <v>$3,000.00</v>
      </c>
      <c r="E52" s="16">
        <v>3000</v>
      </c>
      <c r="F52" s="4">
        <v>1</v>
      </c>
      <c r="G52" s="4">
        <v>2</v>
      </c>
      <c r="H52" s="4" t="str">
        <f t="shared" si="19"/>
        <v>$10,000.00</v>
      </c>
      <c r="I52" s="16">
        <v>10000</v>
      </c>
      <c r="J52" s="4">
        <v>2</v>
      </c>
      <c r="K52" s="4">
        <v>2</v>
      </c>
      <c r="L52" s="4" t="str">
        <f t="shared" si="20"/>
        <v>$3,000.00</v>
      </c>
      <c r="M52" s="16">
        <v>3000</v>
      </c>
      <c r="N52" s="4">
        <v>1</v>
      </c>
      <c r="O52" s="4">
        <v>477</v>
      </c>
      <c r="P52" s="4" t="str">
        <f t="shared" si="21"/>
        <v>$715,500.00</v>
      </c>
      <c r="Q52" s="16">
        <v>715500</v>
      </c>
      <c r="R52" s="4">
        <v>4</v>
      </c>
      <c r="S52" s="4">
        <v>0</v>
      </c>
      <c r="T52" s="16">
        <v>0</v>
      </c>
      <c r="U52" s="4">
        <v>0</v>
      </c>
      <c r="V52" s="4" t="s">
        <v>51</v>
      </c>
      <c r="W52" s="4">
        <v>2021</v>
      </c>
      <c r="X52" s="4">
        <v>0</v>
      </c>
      <c r="Y52" s="16">
        <v>0</v>
      </c>
      <c r="Z52" s="4">
        <v>0</v>
      </c>
      <c r="AA52" s="4">
        <v>0</v>
      </c>
      <c r="AB52" s="16">
        <v>0</v>
      </c>
      <c r="AC52" s="4">
        <v>0</v>
      </c>
      <c r="AD52" s="4">
        <v>0</v>
      </c>
      <c r="AE52" s="16">
        <v>0</v>
      </c>
      <c r="AF52" s="4">
        <v>0</v>
      </c>
      <c r="AG52" s="4">
        <v>0</v>
      </c>
      <c r="AH52" s="16">
        <v>0</v>
      </c>
      <c r="AI52" s="4">
        <v>0</v>
      </c>
      <c r="AJ52" s="4">
        <v>0</v>
      </c>
      <c r="AK52" s="16">
        <v>0</v>
      </c>
      <c r="AL52" s="28">
        <v>0</v>
      </c>
      <c r="AM52" s="4"/>
      <c r="AN52" s="2" t="s">
        <v>128</v>
      </c>
      <c r="AO52" s="4">
        <v>2022</v>
      </c>
      <c r="AP52" s="4">
        <v>3.25</v>
      </c>
      <c r="AQ52" s="16">
        <v>8125</v>
      </c>
      <c r="AR52" s="4">
        <v>2</v>
      </c>
      <c r="AS52" s="4"/>
      <c r="AT52" s="16"/>
      <c r="AU52" s="4">
        <v>0</v>
      </c>
      <c r="AV52" s="4">
        <v>15</v>
      </c>
      <c r="AW52" s="16">
        <v>22500</v>
      </c>
      <c r="AX52" s="4">
        <v>2</v>
      </c>
      <c r="AY52" s="4">
        <v>246</v>
      </c>
      <c r="AZ52" s="16">
        <v>369000</v>
      </c>
      <c r="BA52" s="4">
        <v>2</v>
      </c>
      <c r="BB52" s="4">
        <v>0</v>
      </c>
      <c r="BC52" s="16">
        <v>0</v>
      </c>
      <c r="BD52" s="4">
        <v>0</v>
      </c>
      <c r="BE52" s="4"/>
      <c r="BF52" s="4">
        <f t="shared" si="22"/>
        <v>0</v>
      </c>
      <c r="BG52" s="16">
        <f t="shared" si="23"/>
        <v>0</v>
      </c>
      <c r="BH52" s="4">
        <f t="shared" si="24"/>
        <v>0</v>
      </c>
      <c r="BI52" s="4">
        <f t="shared" si="25"/>
        <v>0</v>
      </c>
      <c r="BJ52" s="16">
        <f t="shared" si="26"/>
        <v>0</v>
      </c>
      <c r="BK52" s="4">
        <f t="shared" si="27"/>
        <v>0</v>
      </c>
      <c r="BL52" s="4">
        <f t="shared" si="28"/>
        <v>0</v>
      </c>
      <c r="BM52" s="16">
        <f t="shared" si="29"/>
        <v>0</v>
      </c>
      <c r="BN52" s="4">
        <f t="shared" si="30"/>
        <v>0</v>
      </c>
      <c r="BO52" s="4">
        <f t="shared" si="31"/>
        <v>0</v>
      </c>
      <c r="BP52" s="16">
        <f t="shared" si="32"/>
        <v>0</v>
      </c>
      <c r="BQ52" s="4">
        <f t="shared" si="33"/>
        <v>0</v>
      </c>
      <c r="BR52" s="4">
        <f t="shared" si="34"/>
        <v>0</v>
      </c>
      <c r="BS52" s="16">
        <f t="shared" si="35"/>
        <v>0</v>
      </c>
      <c r="BT52" s="4">
        <f t="shared" si="36"/>
        <v>0</v>
      </c>
      <c r="BU52" s="4">
        <f t="shared" si="15"/>
        <v>0</v>
      </c>
      <c r="BV52" s="16">
        <f t="shared" si="16"/>
        <v>0</v>
      </c>
      <c r="BW52" s="4">
        <f t="shared" si="17"/>
        <v>0</v>
      </c>
    </row>
    <row r="53" spans="1:75" x14ac:dyDescent="0.25">
      <c r="A53" s="2" t="s">
        <v>128</v>
      </c>
      <c r="B53" s="4">
        <v>2020</v>
      </c>
      <c r="C53" s="4">
        <v>45</v>
      </c>
      <c r="D53" s="4" t="str">
        <f t="shared" si="18"/>
        <v>$109,200.00</v>
      </c>
      <c r="E53" s="16">
        <v>109200</v>
      </c>
      <c r="F53" s="4">
        <v>1</v>
      </c>
      <c r="G53" s="4">
        <v>20.6</v>
      </c>
      <c r="H53" s="4" t="str">
        <f t="shared" si="19"/>
        <v>$103,000.00</v>
      </c>
      <c r="I53" s="16">
        <v>103000</v>
      </c>
      <c r="J53" s="4">
        <v>7</v>
      </c>
      <c r="K53" s="4">
        <v>18</v>
      </c>
      <c r="L53" s="4" t="str">
        <f t="shared" si="20"/>
        <v>$27,000.00</v>
      </c>
      <c r="M53" s="16">
        <v>27000</v>
      </c>
      <c r="N53" s="4">
        <v>2</v>
      </c>
      <c r="O53" s="4">
        <v>518</v>
      </c>
      <c r="P53" s="4" t="str">
        <f t="shared" si="21"/>
        <v>$777,000.00</v>
      </c>
      <c r="Q53" s="16">
        <v>777000</v>
      </c>
      <c r="R53" s="4">
        <v>3</v>
      </c>
      <c r="S53" s="4">
        <v>0</v>
      </c>
      <c r="T53" s="16">
        <v>0</v>
      </c>
      <c r="U53" s="4">
        <v>0</v>
      </c>
      <c r="V53" s="4" t="s">
        <v>52</v>
      </c>
      <c r="W53" s="4">
        <v>2021</v>
      </c>
      <c r="X53" s="4">
        <v>0</v>
      </c>
      <c r="Y53" s="16">
        <v>0</v>
      </c>
      <c r="Z53" s="4">
        <v>0</v>
      </c>
      <c r="AA53" s="4">
        <v>0</v>
      </c>
      <c r="AB53" s="16">
        <v>0</v>
      </c>
      <c r="AC53" s="4">
        <v>0</v>
      </c>
      <c r="AD53" s="4">
        <v>63</v>
      </c>
      <c r="AE53" s="16">
        <v>94500</v>
      </c>
      <c r="AF53" s="4">
        <v>3</v>
      </c>
      <c r="AG53" s="4">
        <v>536</v>
      </c>
      <c r="AH53" s="16">
        <v>804000</v>
      </c>
      <c r="AI53" s="4">
        <v>2</v>
      </c>
      <c r="AJ53" s="4">
        <v>0</v>
      </c>
      <c r="AK53" s="16">
        <v>0</v>
      </c>
      <c r="AL53" s="28">
        <v>0</v>
      </c>
      <c r="AM53" s="4"/>
      <c r="AN53" s="2" t="s">
        <v>51</v>
      </c>
      <c r="AO53" s="4">
        <v>2022</v>
      </c>
      <c r="AP53" s="4">
        <v>0</v>
      </c>
      <c r="AQ53" s="16">
        <v>0</v>
      </c>
      <c r="AR53" s="4">
        <v>0</v>
      </c>
      <c r="AS53" s="4"/>
      <c r="AT53" s="16"/>
      <c r="AU53" s="4">
        <v>0</v>
      </c>
      <c r="AV53" s="4">
        <v>0</v>
      </c>
      <c r="AW53" s="16">
        <v>0</v>
      </c>
      <c r="AX53" s="4">
        <v>0</v>
      </c>
      <c r="AY53" s="4">
        <v>0</v>
      </c>
      <c r="AZ53" s="16">
        <v>0</v>
      </c>
      <c r="BA53" s="4">
        <v>0</v>
      </c>
      <c r="BB53" s="4">
        <v>0</v>
      </c>
      <c r="BC53" s="16">
        <v>0</v>
      </c>
      <c r="BD53" s="4">
        <v>0</v>
      </c>
      <c r="BE53" s="4"/>
      <c r="BF53" s="4">
        <f t="shared" si="22"/>
        <v>0</v>
      </c>
      <c r="BG53" s="16">
        <f t="shared" si="23"/>
        <v>0</v>
      </c>
      <c r="BH53" s="4">
        <f t="shared" si="24"/>
        <v>0</v>
      </c>
      <c r="BI53" s="4">
        <f t="shared" si="25"/>
        <v>9.09</v>
      </c>
      <c r="BJ53" s="16">
        <f t="shared" si="26"/>
        <v>45450</v>
      </c>
      <c r="BK53" s="4">
        <f t="shared" si="27"/>
        <v>3</v>
      </c>
      <c r="BL53" s="4">
        <f t="shared" si="28"/>
        <v>171</v>
      </c>
      <c r="BM53" s="16">
        <f t="shared" si="29"/>
        <v>256500</v>
      </c>
      <c r="BN53" s="4">
        <f t="shared" si="30"/>
        <v>8</v>
      </c>
      <c r="BO53" s="4">
        <f t="shared" si="31"/>
        <v>1408</v>
      </c>
      <c r="BP53" s="16">
        <f t="shared" si="32"/>
        <v>2112000</v>
      </c>
      <c r="BQ53" s="4">
        <f t="shared" si="33"/>
        <v>6</v>
      </c>
      <c r="BR53" s="4">
        <f t="shared" si="34"/>
        <v>0</v>
      </c>
      <c r="BS53" s="16">
        <f t="shared" si="35"/>
        <v>0</v>
      </c>
      <c r="BT53" s="4">
        <f t="shared" si="36"/>
        <v>0</v>
      </c>
      <c r="BU53" s="4">
        <f t="shared" si="15"/>
        <v>1588.09</v>
      </c>
      <c r="BV53" s="16">
        <f t="shared" si="16"/>
        <v>2413950</v>
      </c>
      <c r="BW53" s="4">
        <f t="shared" si="17"/>
        <v>17</v>
      </c>
    </row>
    <row r="54" spans="1:75" x14ac:dyDescent="0.25">
      <c r="A54" s="2" t="s">
        <v>51</v>
      </c>
      <c r="B54" s="4">
        <v>2020</v>
      </c>
      <c r="C54" s="4">
        <v>0</v>
      </c>
      <c r="D54" s="4" t="str">
        <f t="shared" si="18"/>
        <v>$0.00</v>
      </c>
      <c r="E54" s="16">
        <v>0</v>
      </c>
      <c r="F54" s="4">
        <v>0</v>
      </c>
      <c r="G54" s="4">
        <v>0</v>
      </c>
      <c r="H54" s="4" t="str">
        <f t="shared" si="19"/>
        <v>$0.00</v>
      </c>
      <c r="I54" s="16">
        <v>0</v>
      </c>
      <c r="J54" s="4">
        <v>0</v>
      </c>
      <c r="K54" s="4">
        <v>0</v>
      </c>
      <c r="L54" s="4" t="str">
        <f t="shared" si="20"/>
        <v>$0.00</v>
      </c>
      <c r="M54" s="16">
        <v>0</v>
      </c>
      <c r="N54" s="4">
        <v>0</v>
      </c>
      <c r="O54" s="4">
        <v>0</v>
      </c>
      <c r="P54" s="4" t="str">
        <f t="shared" si="21"/>
        <v>$0.00</v>
      </c>
      <c r="Q54" s="16">
        <v>0</v>
      </c>
      <c r="R54" s="4">
        <v>0</v>
      </c>
      <c r="S54" s="4">
        <v>0</v>
      </c>
      <c r="T54" s="16">
        <v>0</v>
      </c>
      <c r="U54" s="4">
        <v>0</v>
      </c>
      <c r="V54" s="4" t="s">
        <v>53</v>
      </c>
      <c r="W54" s="4">
        <v>2021</v>
      </c>
      <c r="X54" s="4">
        <v>2</v>
      </c>
      <c r="Y54" s="16">
        <v>5000</v>
      </c>
      <c r="Z54" s="4">
        <v>1</v>
      </c>
      <c r="AA54" s="4">
        <v>0</v>
      </c>
      <c r="AB54" s="16">
        <v>0</v>
      </c>
      <c r="AC54" s="4">
        <v>0</v>
      </c>
      <c r="AD54" s="4">
        <v>7</v>
      </c>
      <c r="AE54" s="16">
        <v>10500</v>
      </c>
      <c r="AF54" s="4">
        <v>1</v>
      </c>
      <c r="AG54" s="4">
        <v>0</v>
      </c>
      <c r="AH54" s="16">
        <v>0</v>
      </c>
      <c r="AI54" s="4">
        <v>0</v>
      </c>
      <c r="AJ54" s="4">
        <v>0</v>
      </c>
      <c r="AK54" s="16">
        <v>0</v>
      </c>
      <c r="AL54" s="28">
        <v>0</v>
      </c>
      <c r="AM54" s="4"/>
      <c r="AN54" s="2" t="s">
        <v>52</v>
      </c>
      <c r="AO54" s="4">
        <v>2022</v>
      </c>
      <c r="AP54" s="4">
        <v>0</v>
      </c>
      <c r="AQ54" s="16">
        <v>0</v>
      </c>
      <c r="AR54" s="4">
        <v>0</v>
      </c>
      <c r="AS54" s="4"/>
      <c r="AT54" s="16"/>
      <c r="AU54" s="4">
        <v>0</v>
      </c>
      <c r="AV54" s="4">
        <v>59</v>
      </c>
      <c r="AW54" s="16">
        <v>88500</v>
      </c>
      <c r="AX54" s="4">
        <v>2</v>
      </c>
      <c r="AY54" s="4">
        <v>536</v>
      </c>
      <c r="AZ54" s="16">
        <v>804000</v>
      </c>
      <c r="BA54" s="4">
        <v>2</v>
      </c>
      <c r="BB54" s="4">
        <v>0</v>
      </c>
      <c r="BC54" s="16">
        <v>0</v>
      </c>
      <c r="BD54" s="4">
        <v>0</v>
      </c>
      <c r="BE54" s="4"/>
      <c r="BF54" s="4">
        <f t="shared" si="22"/>
        <v>10</v>
      </c>
      <c r="BG54" s="16">
        <f t="shared" si="23"/>
        <v>21000</v>
      </c>
      <c r="BH54" s="4">
        <f t="shared" si="24"/>
        <v>2</v>
      </c>
      <c r="BI54" s="4">
        <f t="shared" si="25"/>
        <v>0</v>
      </c>
      <c r="BJ54" s="16">
        <f t="shared" si="26"/>
        <v>0</v>
      </c>
      <c r="BK54" s="4">
        <f t="shared" si="27"/>
        <v>0</v>
      </c>
      <c r="BL54" s="4">
        <f t="shared" si="28"/>
        <v>15</v>
      </c>
      <c r="BM54" s="16">
        <f t="shared" si="29"/>
        <v>22500</v>
      </c>
      <c r="BN54" s="4">
        <f t="shared" si="30"/>
        <v>2</v>
      </c>
      <c r="BO54" s="4">
        <f t="shared" si="31"/>
        <v>0</v>
      </c>
      <c r="BP54" s="16">
        <f t="shared" si="32"/>
        <v>0</v>
      </c>
      <c r="BQ54" s="4">
        <f t="shared" si="33"/>
        <v>0</v>
      </c>
      <c r="BR54" s="4">
        <f t="shared" si="34"/>
        <v>0</v>
      </c>
      <c r="BS54" s="16">
        <f t="shared" si="35"/>
        <v>0</v>
      </c>
      <c r="BT54" s="4">
        <f t="shared" si="36"/>
        <v>0</v>
      </c>
      <c r="BU54" s="4">
        <f t="shared" si="15"/>
        <v>25</v>
      </c>
      <c r="BV54" s="16">
        <f t="shared" si="16"/>
        <v>43500</v>
      </c>
      <c r="BW54" s="4">
        <f t="shared" si="17"/>
        <v>4</v>
      </c>
    </row>
    <row r="55" spans="1:75" x14ac:dyDescent="0.25">
      <c r="A55" s="2" t="s">
        <v>52</v>
      </c>
      <c r="B55" s="4">
        <v>2020</v>
      </c>
      <c r="C55" s="4">
        <v>0</v>
      </c>
      <c r="D55" s="4" t="str">
        <f t="shared" si="18"/>
        <v>$0.00</v>
      </c>
      <c r="E55" s="16">
        <v>0</v>
      </c>
      <c r="F55" s="4">
        <v>0</v>
      </c>
      <c r="G55" s="4">
        <v>9.09</v>
      </c>
      <c r="H55" s="4" t="str">
        <f t="shared" si="19"/>
        <v>$45,450.00</v>
      </c>
      <c r="I55" s="16">
        <v>45450</v>
      </c>
      <c r="J55" s="4">
        <v>3</v>
      </c>
      <c r="K55" s="4">
        <v>49</v>
      </c>
      <c r="L55" s="4" t="str">
        <f t="shared" si="20"/>
        <v>$73,500.00</v>
      </c>
      <c r="M55" s="16">
        <v>73500</v>
      </c>
      <c r="N55" s="4">
        <v>3</v>
      </c>
      <c r="O55" s="4">
        <v>336</v>
      </c>
      <c r="P55" s="4" t="str">
        <f t="shared" si="21"/>
        <v>$504,000.00</v>
      </c>
      <c r="Q55" s="16">
        <v>504000</v>
      </c>
      <c r="R55" s="4">
        <v>2</v>
      </c>
      <c r="S55" s="4">
        <v>0</v>
      </c>
      <c r="T55" s="16">
        <v>0</v>
      </c>
      <c r="U55" s="4">
        <v>0</v>
      </c>
      <c r="V55" s="4" t="s">
        <v>54</v>
      </c>
      <c r="W55" s="4">
        <v>2021</v>
      </c>
      <c r="X55" s="4">
        <v>2.4</v>
      </c>
      <c r="Y55" s="16">
        <v>6000</v>
      </c>
      <c r="Z55" s="4">
        <v>1</v>
      </c>
      <c r="AA55" s="4">
        <v>9.42</v>
      </c>
      <c r="AB55" s="16">
        <v>47100</v>
      </c>
      <c r="AC55" s="4">
        <v>1</v>
      </c>
      <c r="AD55" s="4">
        <v>66</v>
      </c>
      <c r="AE55" s="16">
        <v>99000</v>
      </c>
      <c r="AF55" s="4">
        <v>2</v>
      </c>
      <c r="AG55" s="4">
        <v>718.66000000000008</v>
      </c>
      <c r="AH55" s="16">
        <v>1077990.0000000002</v>
      </c>
      <c r="AI55" s="4">
        <v>3</v>
      </c>
      <c r="AJ55" s="4">
        <v>0</v>
      </c>
      <c r="AK55" s="16">
        <v>0</v>
      </c>
      <c r="AL55" s="28">
        <v>0</v>
      </c>
      <c r="AM55" s="4"/>
      <c r="AN55" s="2" t="s">
        <v>53</v>
      </c>
      <c r="AO55" s="4">
        <v>2022</v>
      </c>
      <c r="AP55" s="4">
        <v>0</v>
      </c>
      <c r="AQ55" s="16">
        <v>0</v>
      </c>
      <c r="AR55" s="4">
        <v>0</v>
      </c>
      <c r="AS55" s="4"/>
      <c r="AT55" s="16"/>
      <c r="AU55" s="4">
        <v>0</v>
      </c>
      <c r="AV55" s="4">
        <v>0</v>
      </c>
      <c r="AW55" s="16">
        <v>0</v>
      </c>
      <c r="AX55" s="4">
        <v>0</v>
      </c>
      <c r="AY55" s="4">
        <v>0</v>
      </c>
      <c r="AZ55" s="16">
        <v>0</v>
      </c>
      <c r="BA55" s="4">
        <v>0</v>
      </c>
      <c r="BB55" s="4">
        <v>0</v>
      </c>
      <c r="BC55" s="16">
        <v>0</v>
      </c>
      <c r="BD55" s="4">
        <v>0</v>
      </c>
      <c r="BE55" s="4"/>
      <c r="BF55" s="4">
        <f t="shared" si="22"/>
        <v>51.08</v>
      </c>
      <c r="BG55" s="16">
        <f t="shared" si="23"/>
        <v>110860</v>
      </c>
      <c r="BH55" s="4">
        <f t="shared" si="24"/>
        <v>6</v>
      </c>
      <c r="BI55" s="4">
        <f t="shared" si="25"/>
        <v>25.619999999999997</v>
      </c>
      <c r="BJ55" s="16">
        <f t="shared" si="26"/>
        <v>128100</v>
      </c>
      <c r="BK55" s="4">
        <f t="shared" si="27"/>
        <v>2</v>
      </c>
      <c r="BL55" s="4">
        <f t="shared" si="28"/>
        <v>212</v>
      </c>
      <c r="BM55" s="16">
        <f t="shared" si="29"/>
        <v>318000</v>
      </c>
      <c r="BN55" s="4">
        <f t="shared" si="30"/>
        <v>5</v>
      </c>
      <c r="BO55" s="4">
        <f t="shared" si="31"/>
        <v>2914.9800000000005</v>
      </c>
      <c r="BP55" s="16">
        <f t="shared" si="32"/>
        <v>4372470</v>
      </c>
      <c r="BQ55" s="4">
        <f t="shared" si="33"/>
        <v>13</v>
      </c>
      <c r="BR55" s="4">
        <f t="shared" si="34"/>
        <v>0</v>
      </c>
      <c r="BS55" s="16">
        <f t="shared" si="35"/>
        <v>0</v>
      </c>
      <c r="BT55" s="4">
        <f t="shared" si="36"/>
        <v>0</v>
      </c>
      <c r="BU55" s="4">
        <f t="shared" si="15"/>
        <v>3203.6800000000003</v>
      </c>
      <c r="BV55" s="16">
        <f t="shared" si="16"/>
        <v>4929430</v>
      </c>
      <c r="BW55" s="4">
        <f t="shared" si="17"/>
        <v>26</v>
      </c>
    </row>
    <row r="56" spans="1:75" x14ac:dyDescent="0.25">
      <c r="A56" s="2" t="s">
        <v>53</v>
      </c>
      <c r="B56" s="4">
        <v>2020</v>
      </c>
      <c r="C56" s="4">
        <v>8</v>
      </c>
      <c r="D56" s="4" t="str">
        <f t="shared" si="18"/>
        <v>$16,000.00</v>
      </c>
      <c r="E56" s="16">
        <v>16000</v>
      </c>
      <c r="F56" s="4">
        <v>1</v>
      </c>
      <c r="G56" s="4">
        <v>0</v>
      </c>
      <c r="H56" s="4" t="str">
        <f t="shared" si="19"/>
        <v>$0.00</v>
      </c>
      <c r="I56" s="16">
        <v>0</v>
      </c>
      <c r="J56" s="4">
        <v>0</v>
      </c>
      <c r="K56" s="4">
        <v>8</v>
      </c>
      <c r="L56" s="4" t="str">
        <f t="shared" si="20"/>
        <v>$12,000.00</v>
      </c>
      <c r="M56" s="16">
        <v>12000</v>
      </c>
      <c r="N56" s="4">
        <v>1</v>
      </c>
      <c r="O56" s="4">
        <v>0</v>
      </c>
      <c r="P56" s="4" t="str">
        <f t="shared" si="21"/>
        <v>$0.00</v>
      </c>
      <c r="Q56" s="16">
        <v>0</v>
      </c>
      <c r="R56" s="4">
        <v>0</v>
      </c>
      <c r="S56" s="4">
        <v>0</v>
      </c>
      <c r="T56" s="16">
        <v>0</v>
      </c>
      <c r="U56" s="4">
        <v>0</v>
      </c>
      <c r="V56" s="4" t="s">
        <v>55</v>
      </c>
      <c r="W56" s="4">
        <v>2021</v>
      </c>
      <c r="X56" s="4">
        <v>36</v>
      </c>
      <c r="Y56" s="16">
        <v>90000</v>
      </c>
      <c r="Z56" s="4">
        <v>2</v>
      </c>
      <c r="AA56" s="4">
        <v>35.57</v>
      </c>
      <c r="AB56" s="16">
        <v>152850</v>
      </c>
      <c r="AC56" s="4">
        <v>4</v>
      </c>
      <c r="AD56" s="4">
        <v>75</v>
      </c>
      <c r="AE56" s="16">
        <v>112500</v>
      </c>
      <c r="AF56" s="4">
        <v>11</v>
      </c>
      <c r="AG56" s="4">
        <v>3076.61</v>
      </c>
      <c r="AH56" s="16">
        <v>4614915</v>
      </c>
      <c r="AI56" s="4">
        <v>44</v>
      </c>
      <c r="AJ56" s="4">
        <v>0</v>
      </c>
      <c r="AK56" s="16">
        <v>0</v>
      </c>
      <c r="AL56" s="28">
        <v>0</v>
      </c>
      <c r="AM56" s="4"/>
      <c r="AN56" s="2" t="s">
        <v>54</v>
      </c>
      <c r="AO56" s="4">
        <v>2022</v>
      </c>
      <c r="AP56" s="4">
        <v>15</v>
      </c>
      <c r="AQ56" s="16">
        <v>37500</v>
      </c>
      <c r="AR56" s="4">
        <v>1</v>
      </c>
      <c r="AS56" s="4"/>
      <c r="AT56" s="16"/>
      <c r="AU56" s="4">
        <v>0</v>
      </c>
      <c r="AV56" s="4">
        <v>66</v>
      </c>
      <c r="AW56" s="16">
        <v>99000</v>
      </c>
      <c r="AX56" s="4">
        <v>2</v>
      </c>
      <c r="AY56" s="4">
        <v>1102.6600000000001</v>
      </c>
      <c r="AZ56" s="16">
        <v>1653990</v>
      </c>
      <c r="BA56" s="4">
        <v>5</v>
      </c>
      <c r="BB56" s="4">
        <v>0</v>
      </c>
      <c r="BC56" s="16">
        <v>0</v>
      </c>
      <c r="BD56" s="4">
        <v>0</v>
      </c>
      <c r="BE56" s="4"/>
      <c r="BF56" s="4">
        <f t="shared" si="22"/>
        <v>85.3</v>
      </c>
      <c r="BG56" s="16">
        <f t="shared" si="23"/>
        <v>196100</v>
      </c>
      <c r="BH56" s="4">
        <f t="shared" si="24"/>
        <v>6</v>
      </c>
      <c r="BI56" s="4">
        <f t="shared" si="25"/>
        <v>93.039999999999992</v>
      </c>
      <c r="BJ56" s="16">
        <f t="shared" si="26"/>
        <v>440200</v>
      </c>
      <c r="BK56" s="4">
        <f t="shared" si="27"/>
        <v>14</v>
      </c>
      <c r="BL56" s="4">
        <f t="shared" si="28"/>
        <v>205</v>
      </c>
      <c r="BM56" s="16">
        <f t="shared" si="29"/>
        <v>307500</v>
      </c>
      <c r="BN56" s="4">
        <f t="shared" si="30"/>
        <v>31</v>
      </c>
      <c r="BO56" s="4">
        <f t="shared" si="31"/>
        <v>8014.75</v>
      </c>
      <c r="BP56" s="16">
        <f t="shared" si="32"/>
        <v>12022125</v>
      </c>
      <c r="BQ56" s="4">
        <f t="shared" si="33"/>
        <v>105</v>
      </c>
      <c r="BR56" s="4">
        <f t="shared" si="34"/>
        <v>0</v>
      </c>
      <c r="BS56" s="16">
        <f t="shared" si="35"/>
        <v>0</v>
      </c>
      <c r="BT56" s="4">
        <f t="shared" si="36"/>
        <v>0</v>
      </c>
      <c r="BU56" s="4">
        <f t="shared" si="15"/>
        <v>8398.09</v>
      </c>
      <c r="BV56" s="16">
        <f t="shared" si="16"/>
        <v>12965925</v>
      </c>
      <c r="BW56" s="4">
        <f t="shared" si="17"/>
        <v>156</v>
      </c>
    </row>
    <row r="57" spans="1:75" x14ac:dyDescent="0.25">
      <c r="A57" s="2" t="s">
        <v>54</v>
      </c>
      <c r="B57" s="4">
        <v>2020</v>
      </c>
      <c r="C57" s="4">
        <v>33.68</v>
      </c>
      <c r="D57" s="4" t="str">
        <f t="shared" si="18"/>
        <v>$67,360.00</v>
      </c>
      <c r="E57" s="16">
        <v>67360</v>
      </c>
      <c r="F57" s="4">
        <v>4</v>
      </c>
      <c r="G57" s="4">
        <v>16.2</v>
      </c>
      <c r="H57" s="4" t="str">
        <f t="shared" si="19"/>
        <v>$81,000.00</v>
      </c>
      <c r="I57" s="16">
        <v>81000</v>
      </c>
      <c r="J57" s="4">
        <v>1</v>
      </c>
      <c r="K57" s="4">
        <v>80</v>
      </c>
      <c r="L57" s="4" t="str">
        <f t="shared" si="20"/>
        <v>$120,000.00</v>
      </c>
      <c r="M57" s="16">
        <v>120000</v>
      </c>
      <c r="N57" s="4">
        <v>1</v>
      </c>
      <c r="O57" s="4">
        <v>1093.6600000000001</v>
      </c>
      <c r="P57" s="4" t="str">
        <f t="shared" si="21"/>
        <v>$1,640,490.00</v>
      </c>
      <c r="Q57" s="16">
        <v>1640490.0000000002</v>
      </c>
      <c r="R57" s="4">
        <v>5</v>
      </c>
      <c r="S57" s="4">
        <v>0</v>
      </c>
      <c r="T57" s="16">
        <v>0</v>
      </c>
      <c r="U57" s="4">
        <v>0</v>
      </c>
      <c r="V57" s="4" t="s">
        <v>56</v>
      </c>
      <c r="W57" s="4">
        <v>2021</v>
      </c>
      <c r="X57" s="4">
        <v>7</v>
      </c>
      <c r="Y57" s="16">
        <v>17500</v>
      </c>
      <c r="Z57" s="4">
        <v>1</v>
      </c>
      <c r="AA57" s="4">
        <v>75.91</v>
      </c>
      <c r="AB57" s="16">
        <v>479550</v>
      </c>
      <c r="AC57" s="4">
        <v>49</v>
      </c>
      <c r="AD57" s="4">
        <v>0</v>
      </c>
      <c r="AE57" s="16">
        <v>0</v>
      </c>
      <c r="AF57" s="4">
        <v>0</v>
      </c>
      <c r="AG57" s="4">
        <v>2531.58</v>
      </c>
      <c r="AH57" s="16">
        <v>3797370</v>
      </c>
      <c r="AI57" s="4">
        <v>18</v>
      </c>
      <c r="AJ57" s="4">
        <v>0</v>
      </c>
      <c r="AK57" s="16">
        <v>0</v>
      </c>
      <c r="AL57" s="28">
        <v>0</v>
      </c>
      <c r="AM57" s="4"/>
      <c r="AN57" s="2" t="s">
        <v>55</v>
      </c>
      <c r="AO57" s="4">
        <v>2022</v>
      </c>
      <c r="AP57" s="4">
        <v>15</v>
      </c>
      <c r="AQ57" s="16">
        <v>37500</v>
      </c>
      <c r="AR57" s="4">
        <v>2</v>
      </c>
      <c r="AS57" s="4"/>
      <c r="AT57" s="16"/>
      <c r="AU57" s="4">
        <v>0</v>
      </c>
      <c r="AV57" s="4">
        <v>41</v>
      </c>
      <c r="AW57" s="16">
        <v>61500</v>
      </c>
      <c r="AX57" s="4">
        <v>9</v>
      </c>
      <c r="AY57" s="4">
        <v>2951.61</v>
      </c>
      <c r="AZ57" s="16">
        <v>4427415</v>
      </c>
      <c r="BA57" s="4">
        <v>30</v>
      </c>
      <c r="BB57" s="4">
        <v>0</v>
      </c>
      <c r="BC57" s="16">
        <v>0</v>
      </c>
      <c r="BD57" s="4">
        <v>0</v>
      </c>
      <c r="BE57" s="4"/>
      <c r="BF57" s="4">
        <f t="shared" si="22"/>
        <v>25</v>
      </c>
      <c r="BG57" s="16">
        <f t="shared" si="23"/>
        <v>58500</v>
      </c>
      <c r="BH57" s="4">
        <f t="shared" si="24"/>
        <v>3</v>
      </c>
      <c r="BI57" s="4">
        <f t="shared" si="25"/>
        <v>162.62</v>
      </c>
      <c r="BJ57" s="16">
        <f t="shared" si="26"/>
        <v>928100</v>
      </c>
      <c r="BK57" s="4">
        <f t="shared" si="27"/>
        <v>98</v>
      </c>
      <c r="BL57" s="4">
        <f t="shared" si="28"/>
        <v>0</v>
      </c>
      <c r="BM57" s="16">
        <f t="shared" si="29"/>
        <v>0</v>
      </c>
      <c r="BN57" s="4">
        <f t="shared" si="30"/>
        <v>0</v>
      </c>
      <c r="BO57" s="4">
        <f t="shared" si="31"/>
        <v>5474.37</v>
      </c>
      <c r="BP57" s="16">
        <f t="shared" si="32"/>
        <v>8211555</v>
      </c>
      <c r="BQ57" s="4">
        <f t="shared" si="33"/>
        <v>39</v>
      </c>
      <c r="BR57" s="4">
        <f t="shared" si="34"/>
        <v>0</v>
      </c>
      <c r="BS57" s="16">
        <f t="shared" si="35"/>
        <v>0</v>
      </c>
      <c r="BT57" s="4">
        <f t="shared" si="36"/>
        <v>0</v>
      </c>
      <c r="BU57" s="4">
        <f t="shared" si="15"/>
        <v>5661.99</v>
      </c>
      <c r="BV57" s="16">
        <f t="shared" si="16"/>
        <v>9198155</v>
      </c>
      <c r="BW57" s="4">
        <f t="shared" si="17"/>
        <v>140</v>
      </c>
    </row>
    <row r="58" spans="1:75" x14ac:dyDescent="0.25">
      <c r="A58" s="2" t="s">
        <v>55</v>
      </c>
      <c r="B58" s="4">
        <v>2020</v>
      </c>
      <c r="C58" s="4">
        <v>34.299999999999997</v>
      </c>
      <c r="D58" s="4" t="str">
        <f t="shared" si="18"/>
        <v>$68,600.00</v>
      </c>
      <c r="E58" s="16">
        <v>68600</v>
      </c>
      <c r="F58" s="4">
        <v>2</v>
      </c>
      <c r="G58" s="4">
        <v>57.47</v>
      </c>
      <c r="H58" s="4" t="str">
        <f t="shared" si="19"/>
        <v>$287,350.00</v>
      </c>
      <c r="I58" s="16">
        <v>287350</v>
      </c>
      <c r="J58" s="4">
        <v>10</v>
      </c>
      <c r="K58" s="4">
        <v>89</v>
      </c>
      <c r="L58" s="4" t="str">
        <f t="shared" si="20"/>
        <v>$133,500.00</v>
      </c>
      <c r="M58" s="16">
        <v>133500</v>
      </c>
      <c r="N58" s="4">
        <v>11</v>
      </c>
      <c r="O58" s="4">
        <v>1986.53</v>
      </c>
      <c r="P58" s="4" t="str">
        <f t="shared" si="21"/>
        <v>$2,979,795.00</v>
      </c>
      <c r="Q58" s="16">
        <v>2979795</v>
      </c>
      <c r="R58" s="4">
        <v>31</v>
      </c>
      <c r="S58" s="4">
        <v>0</v>
      </c>
      <c r="T58" s="16">
        <v>0</v>
      </c>
      <c r="U58" s="4">
        <v>0</v>
      </c>
      <c r="V58" s="4" t="s">
        <v>57</v>
      </c>
      <c r="W58" s="4">
        <v>2021</v>
      </c>
      <c r="X58" s="4">
        <v>0</v>
      </c>
      <c r="Y58" s="16">
        <v>0</v>
      </c>
      <c r="Z58" s="4">
        <v>0</v>
      </c>
      <c r="AA58" s="4">
        <v>0</v>
      </c>
      <c r="AB58" s="16">
        <v>0</v>
      </c>
      <c r="AC58" s="4">
        <v>0</v>
      </c>
      <c r="AD58" s="4">
        <v>0</v>
      </c>
      <c r="AE58" s="16">
        <v>0</v>
      </c>
      <c r="AF58" s="4">
        <v>0</v>
      </c>
      <c r="AG58" s="4">
        <v>0</v>
      </c>
      <c r="AH58" s="16">
        <v>0</v>
      </c>
      <c r="AI58" s="4">
        <v>0</v>
      </c>
      <c r="AJ58" s="4">
        <v>0</v>
      </c>
      <c r="AK58" s="16">
        <v>0</v>
      </c>
      <c r="AL58" s="28">
        <v>0</v>
      </c>
      <c r="AM58" s="4"/>
      <c r="AN58" s="2" t="s">
        <v>56</v>
      </c>
      <c r="AO58" s="4">
        <v>2022</v>
      </c>
      <c r="AP58" s="4">
        <v>10</v>
      </c>
      <c r="AQ58" s="16">
        <v>25000</v>
      </c>
      <c r="AR58" s="4">
        <v>1</v>
      </c>
      <c r="AS58" s="4">
        <v>3</v>
      </c>
      <c r="AT58" s="16">
        <v>30000</v>
      </c>
      <c r="AU58" s="4">
        <v>2</v>
      </c>
      <c r="AV58" s="4">
        <v>0</v>
      </c>
      <c r="AW58" s="16">
        <v>0</v>
      </c>
      <c r="AX58" s="4">
        <v>0</v>
      </c>
      <c r="AY58" s="4">
        <v>1813.58</v>
      </c>
      <c r="AZ58" s="16">
        <v>2720370</v>
      </c>
      <c r="BA58" s="4">
        <v>13</v>
      </c>
      <c r="BB58" s="4">
        <v>0</v>
      </c>
      <c r="BC58" s="16">
        <v>0</v>
      </c>
      <c r="BD58" s="4">
        <v>0</v>
      </c>
      <c r="BE58" s="4"/>
      <c r="BF58" s="4">
        <f t="shared" si="22"/>
        <v>0</v>
      </c>
      <c r="BG58" s="16">
        <f t="shared" si="23"/>
        <v>0</v>
      </c>
      <c r="BH58" s="4">
        <f t="shared" si="24"/>
        <v>0</v>
      </c>
      <c r="BI58" s="4">
        <f t="shared" si="25"/>
        <v>0</v>
      </c>
      <c r="BJ58" s="16">
        <f t="shared" si="26"/>
        <v>0</v>
      </c>
      <c r="BK58" s="4">
        <f t="shared" si="27"/>
        <v>0</v>
      </c>
      <c r="BL58" s="4">
        <f t="shared" si="28"/>
        <v>0</v>
      </c>
      <c r="BM58" s="16">
        <f t="shared" si="29"/>
        <v>0</v>
      </c>
      <c r="BN58" s="4">
        <f t="shared" si="30"/>
        <v>0</v>
      </c>
      <c r="BO58" s="4">
        <f t="shared" si="31"/>
        <v>0</v>
      </c>
      <c r="BP58" s="16">
        <f t="shared" si="32"/>
        <v>0</v>
      </c>
      <c r="BQ58" s="4">
        <f t="shared" si="33"/>
        <v>0</v>
      </c>
      <c r="BR58" s="4">
        <f t="shared" si="34"/>
        <v>0</v>
      </c>
      <c r="BS58" s="16">
        <f t="shared" si="35"/>
        <v>0</v>
      </c>
      <c r="BT58" s="4">
        <f t="shared" si="36"/>
        <v>0</v>
      </c>
      <c r="BU58" s="4">
        <f t="shared" si="15"/>
        <v>0</v>
      </c>
      <c r="BV58" s="16">
        <f t="shared" si="16"/>
        <v>0</v>
      </c>
      <c r="BW58" s="4">
        <f t="shared" si="17"/>
        <v>0</v>
      </c>
    </row>
    <row r="59" spans="1:75" x14ac:dyDescent="0.25">
      <c r="A59" s="2" t="s">
        <v>56</v>
      </c>
      <c r="B59" s="4">
        <v>2020</v>
      </c>
      <c r="C59" s="4">
        <v>8</v>
      </c>
      <c r="D59" s="4" t="str">
        <f t="shared" si="18"/>
        <v>$16,000.00</v>
      </c>
      <c r="E59" s="16">
        <v>16000</v>
      </c>
      <c r="F59" s="4">
        <v>1</v>
      </c>
      <c r="G59" s="4">
        <v>83.71</v>
      </c>
      <c r="H59" s="4" t="str">
        <f t="shared" si="19"/>
        <v>$418,550.00</v>
      </c>
      <c r="I59" s="16">
        <v>418550</v>
      </c>
      <c r="J59" s="4">
        <v>47</v>
      </c>
      <c r="K59" s="4">
        <v>0</v>
      </c>
      <c r="L59" s="4" t="str">
        <f t="shared" si="20"/>
        <v>$0.00</v>
      </c>
      <c r="M59" s="16">
        <v>0</v>
      </c>
      <c r="N59" s="4">
        <v>0</v>
      </c>
      <c r="O59" s="4">
        <v>1129.21</v>
      </c>
      <c r="P59" s="4" t="str">
        <f t="shared" si="21"/>
        <v>$1,693,815.00</v>
      </c>
      <c r="Q59" s="16">
        <v>1693815</v>
      </c>
      <c r="R59" s="4">
        <v>8</v>
      </c>
      <c r="S59" s="4">
        <v>0</v>
      </c>
      <c r="T59" s="16">
        <v>0</v>
      </c>
      <c r="U59" s="4">
        <v>0</v>
      </c>
      <c r="V59" s="4" t="s">
        <v>58</v>
      </c>
      <c r="W59" s="4">
        <v>2021</v>
      </c>
      <c r="X59" s="4">
        <v>0</v>
      </c>
      <c r="Y59" s="16">
        <v>0</v>
      </c>
      <c r="Z59" s="4">
        <v>0</v>
      </c>
      <c r="AA59" s="4">
        <v>0</v>
      </c>
      <c r="AB59" s="16">
        <v>0</v>
      </c>
      <c r="AC59" s="4">
        <v>0</v>
      </c>
      <c r="AD59" s="4">
        <v>0</v>
      </c>
      <c r="AE59" s="16">
        <v>0</v>
      </c>
      <c r="AF59" s="4">
        <v>0</v>
      </c>
      <c r="AG59" s="4">
        <v>0</v>
      </c>
      <c r="AH59" s="16">
        <v>0</v>
      </c>
      <c r="AI59" s="4">
        <v>0</v>
      </c>
      <c r="AJ59" s="4">
        <v>0</v>
      </c>
      <c r="AK59" s="16">
        <v>0</v>
      </c>
      <c r="AL59" s="28">
        <v>0</v>
      </c>
      <c r="AM59" s="4"/>
      <c r="AN59" s="2" t="s">
        <v>57</v>
      </c>
      <c r="AO59" s="4">
        <v>2022</v>
      </c>
      <c r="AP59" s="4">
        <v>0</v>
      </c>
      <c r="AQ59" s="16">
        <v>0</v>
      </c>
      <c r="AR59" s="4">
        <v>0</v>
      </c>
      <c r="AS59" s="4"/>
      <c r="AT59" s="16"/>
      <c r="AU59" s="4">
        <v>0</v>
      </c>
      <c r="AV59" s="4">
        <v>0</v>
      </c>
      <c r="AW59" s="16">
        <v>0</v>
      </c>
      <c r="AX59" s="4">
        <v>0</v>
      </c>
      <c r="AY59" s="4">
        <v>0</v>
      </c>
      <c r="AZ59" s="16">
        <v>0</v>
      </c>
      <c r="BA59" s="4">
        <v>0</v>
      </c>
      <c r="BB59" s="4">
        <v>0</v>
      </c>
      <c r="BC59" s="16">
        <v>0</v>
      </c>
      <c r="BD59" s="4">
        <v>0</v>
      </c>
      <c r="BE59" s="4"/>
      <c r="BF59" s="4">
        <f t="shared" si="22"/>
        <v>0</v>
      </c>
      <c r="BG59" s="16">
        <f t="shared" si="23"/>
        <v>0</v>
      </c>
      <c r="BH59" s="4">
        <f t="shared" si="24"/>
        <v>0</v>
      </c>
      <c r="BI59" s="4">
        <f t="shared" si="25"/>
        <v>0</v>
      </c>
      <c r="BJ59" s="16">
        <f t="shared" si="26"/>
        <v>0</v>
      </c>
      <c r="BK59" s="4">
        <f t="shared" si="27"/>
        <v>0</v>
      </c>
      <c r="BL59" s="4">
        <f t="shared" si="28"/>
        <v>0</v>
      </c>
      <c r="BM59" s="16">
        <f t="shared" si="29"/>
        <v>0</v>
      </c>
      <c r="BN59" s="4">
        <f t="shared" si="30"/>
        <v>0</v>
      </c>
      <c r="BO59" s="4">
        <f t="shared" si="31"/>
        <v>0</v>
      </c>
      <c r="BP59" s="16">
        <f t="shared" si="32"/>
        <v>0</v>
      </c>
      <c r="BQ59" s="4">
        <f t="shared" si="33"/>
        <v>0</v>
      </c>
      <c r="BR59" s="4">
        <f t="shared" si="34"/>
        <v>0</v>
      </c>
      <c r="BS59" s="16">
        <f t="shared" si="35"/>
        <v>0</v>
      </c>
      <c r="BT59" s="4">
        <f t="shared" si="36"/>
        <v>0</v>
      </c>
      <c r="BU59" s="4">
        <f t="shared" si="15"/>
        <v>0</v>
      </c>
      <c r="BV59" s="16">
        <f t="shared" si="16"/>
        <v>0</v>
      </c>
      <c r="BW59" s="4">
        <f t="shared" si="17"/>
        <v>0</v>
      </c>
    </row>
    <row r="60" spans="1:75" x14ac:dyDescent="0.25">
      <c r="A60" s="2" t="s">
        <v>57</v>
      </c>
      <c r="B60" s="4">
        <v>2020</v>
      </c>
      <c r="C60" s="4">
        <v>0</v>
      </c>
      <c r="D60" s="4" t="str">
        <f t="shared" si="18"/>
        <v>$0.00</v>
      </c>
      <c r="E60" s="16">
        <v>0</v>
      </c>
      <c r="F60" s="4">
        <v>0</v>
      </c>
      <c r="G60" s="4">
        <v>0</v>
      </c>
      <c r="H60" s="4" t="str">
        <f t="shared" si="19"/>
        <v>$0.00</v>
      </c>
      <c r="I60" s="16">
        <v>0</v>
      </c>
      <c r="J60" s="4">
        <v>0</v>
      </c>
      <c r="K60" s="4">
        <v>0</v>
      </c>
      <c r="L60" s="4" t="str">
        <f t="shared" si="20"/>
        <v>$0.00</v>
      </c>
      <c r="M60" s="16">
        <v>0</v>
      </c>
      <c r="N60" s="4">
        <v>0</v>
      </c>
      <c r="O60" s="4">
        <v>0</v>
      </c>
      <c r="P60" s="4" t="str">
        <f t="shared" si="21"/>
        <v>$0.00</v>
      </c>
      <c r="Q60" s="16">
        <v>0</v>
      </c>
      <c r="R60" s="4">
        <v>0</v>
      </c>
      <c r="S60" s="4">
        <v>0</v>
      </c>
      <c r="T60" s="16">
        <v>0</v>
      </c>
      <c r="U60" s="4">
        <v>0</v>
      </c>
      <c r="V60" s="4" t="s">
        <v>59</v>
      </c>
      <c r="W60" s="4">
        <v>2021</v>
      </c>
      <c r="X60" s="4">
        <v>0</v>
      </c>
      <c r="Y60" s="16">
        <v>0</v>
      </c>
      <c r="Z60" s="4">
        <v>0</v>
      </c>
      <c r="AA60" s="4">
        <v>0</v>
      </c>
      <c r="AB60" s="16">
        <v>0</v>
      </c>
      <c r="AC60" s="4">
        <v>0</v>
      </c>
      <c r="AD60" s="4">
        <v>0</v>
      </c>
      <c r="AE60" s="16">
        <v>0</v>
      </c>
      <c r="AF60" s="4">
        <v>0</v>
      </c>
      <c r="AG60" s="4">
        <v>0</v>
      </c>
      <c r="AH60" s="16">
        <v>0</v>
      </c>
      <c r="AI60" s="4">
        <v>0</v>
      </c>
      <c r="AJ60" s="4">
        <v>0</v>
      </c>
      <c r="AK60" s="16">
        <v>0</v>
      </c>
      <c r="AL60" s="28">
        <v>0</v>
      </c>
      <c r="AM60" s="4"/>
      <c r="AN60" s="2" t="s">
        <v>58</v>
      </c>
      <c r="AO60" s="4">
        <v>2022</v>
      </c>
      <c r="AP60" s="4">
        <v>0</v>
      </c>
      <c r="AQ60" s="16">
        <v>0</v>
      </c>
      <c r="AR60" s="4">
        <v>0</v>
      </c>
      <c r="AS60" s="4"/>
      <c r="AT60" s="16"/>
      <c r="AU60" s="4">
        <v>0</v>
      </c>
      <c r="AV60" s="4">
        <v>0</v>
      </c>
      <c r="AW60" s="16">
        <v>0</v>
      </c>
      <c r="AX60" s="4">
        <v>0</v>
      </c>
      <c r="AY60" s="4">
        <v>0</v>
      </c>
      <c r="AZ60" s="16">
        <v>0</v>
      </c>
      <c r="BA60" s="4">
        <v>0</v>
      </c>
      <c r="BB60" s="4">
        <v>0</v>
      </c>
      <c r="BC60" s="16">
        <v>0</v>
      </c>
      <c r="BD60" s="4">
        <v>0</v>
      </c>
      <c r="BE60" s="4"/>
      <c r="BF60" s="4">
        <f t="shared" si="22"/>
        <v>0</v>
      </c>
      <c r="BG60" s="16">
        <f t="shared" si="23"/>
        <v>0</v>
      </c>
      <c r="BH60" s="4">
        <f t="shared" si="24"/>
        <v>0</v>
      </c>
      <c r="BI60" s="4">
        <f t="shared" si="25"/>
        <v>0</v>
      </c>
      <c r="BJ60" s="16">
        <f t="shared" si="26"/>
        <v>0</v>
      </c>
      <c r="BK60" s="4">
        <f t="shared" si="27"/>
        <v>0</v>
      </c>
      <c r="BL60" s="4">
        <f t="shared" si="28"/>
        <v>0</v>
      </c>
      <c r="BM60" s="16">
        <f t="shared" si="29"/>
        <v>0</v>
      </c>
      <c r="BN60" s="4">
        <f t="shared" si="30"/>
        <v>0</v>
      </c>
      <c r="BO60" s="4">
        <f t="shared" si="31"/>
        <v>0</v>
      </c>
      <c r="BP60" s="16">
        <f t="shared" si="32"/>
        <v>0</v>
      </c>
      <c r="BQ60" s="4">
        <f t="shared" si="33"/>
        <v>0</v>
      </c>
      <c r="BR60" s="4">
        <f t="shared" si="34"/>
        <v>0</v>
      </c>
      <c r="BS60" s="16">
        <f t="shared" si="35"/>
        <v>0</v>
      </c>
      <c r="BT60" s="4">
        <f t="shared" si="36"/>
        <v>0</v>
      </c>
      <c r="BU60" s="4">
        <f t="shared" si="15"/>
        <v>0</v>
      </c>
      <c r="BV60" s="16">
        <f t="shared" si="16"/>
        <v>0</v>
      </c>
      <c r="BW60" s="4">
        <f t="shared" si="17"/>
        <v>0</v>
      </c>
    </row>
    <row r="61" spans="1:75" x14ac:dyDescent="0.25">
      <c r="A61" s="2" t="s">
        <v>58</v>
      </c>
      <c r="B61" s="4">
        <v>2020</v>
      </c>
      <c r="C61" s="4">
        <v>0</v>
      </c>
      <c r="D61" s="4" t="str">
        <f t="shared" si="18"/>
        <v>$0.00</v>
      </c>
      <c r="E61" s="16">
        <v>0</v>
      </c>
      <c r="F61" s="4">
        <v>0</v>
      </c>
      <c r="G61" s="4">
        <v>0</v>
      </c>
      <c r="H61" s="4" t="str">
        <f t="shared" si="19"/>
        <v>$0.00</v>
      </c>
      <c r="I61" s="16">
        <v>0</v>
      </c>
      <c r="J61" s="4">
        <v>0</v>
      </c>
      <c r="K61" s="4">
        <v>0</v>
      </c>
      <c r="L61" s="4" t="str">
        <f t="shared" si="20"/>
        <v>$0.00</v>
      </c>
      <c r="M61" s="16">
        <v>0</v>
      </c>
      <c r="N61" s="4">
        <v>0</v>
      </c>
      <c r="O61" s="4">
        <v>0</v>
      </c>
      <c r="P61" s="4" t="str">
        <f t="shared" si="21"/>
        <v>$0.00</v>
      </c>
      <c r="Q61" s="16">
        <v>0</v>
      </c>
      <c r="R61" s="4">
        <v>0</v>
      </c>
      <c r="S61" s="4">
        <v>0</v>
      </c>
      <c r="T61" s="16">
        <v>0</v>
      </c>
      <c r="U61" s="4">
        <v>0</v>
      </c>
      <c r="V61" s="4" t="s">
        <v>60</v>
      </c>
      <c r="W61" s="4">
        <v>2021</v>
      </c>
      <c r="X61" s="4">
        <v>36.4</v>
      </c>
      <c r="Y61" s="16">
        <v>91000</v>
      </c>
      <c r="Z61" s="4">
        <v>5</v>
      </c>
      <c r="AA61" s="4">
        <v>31.25</v>
      </c>
      <c r="AB61" s="16">
        <v>156250</v>
      </c>
      <c r="AC61" s="4">
        <v>2</v>
      </c>
      <c r="AD61" s="4">
        <v>99</v>
      </c>
      <c r="AE61" s="16">
        <v>148500</v>
      </c>
      <c r="AF61" s="4">
        <v>5</v>
      </c>
      <c r="AG61" s="4">
        <v>252</v>
      </c>
      <c r="AH61" s="16">
        <v>378000</v>
      </c>
      <c r="AI61" s="4">
        <v>1</v>
      </c>
      <c r="AJ61" s="4">
        <v>0</v>
      </c>
      <c r="AK61" s="16">
        <v>0</v>
      </c>
      <c r="AL61" s="28">
        <v>0</v>
      </c>
      <c r="AM61" s="4"/>
      <c r="AN61" s="2" t="s">
        <v>59</v>
      </c>
      <c r="AO61" s="4">
        <v>2022</v>
      </c>
      <c r="AP61" s="4">
        <v>0</v>
      </c>
      <c r="AQ61" s="16">
        <v>0</v>
      </c>
      <c r="AR61" s="4">
        <v>0</v>
      </c>
      <c r="AS61" s="4"/>
      <c r="AT61" s="16"/>
      <c r="AU61" s="4">
        <v>0</v>
      </c>
      <c r="AV61" s="4">
        <v>0</v>
      </c>
      <c r="AW61" s="16">
        <v>0</v>
      </c>
      <c r="AX61" s="4">
        <v>0</v>
      </c>
      <c r="AY61" s="4">
        <v>0</v>
      </c>
      <c r="AZ61" s="16">
        <v>0</v>
      </c>
      <c r="BA61" s="4">
        <v>0</v>
      </c>
      <c r="BB61" s="4">
        <v>0</v>
      </c>
      <c r="BC61" s="16">
        <v>0</v>
      </c>
      <c r="BD61" s="4">
        <v>0</v>
      </c>
      <c r="BE61" s="4"/>
      <c r="BF61" s="4">
        <f t="shared" si="22"/>
        <v>93.9</v>
      </c>
      <c r="BG61" s="16">
        <f t="shared" si="23"/>
        <v>228250</v>
      </c>
      <c r="BH61" s="4">
        <f t="shared" si="24"/>
        <v>11</v>
      </c>
      <c r="BI61" s="4">
        <f t="shared" si="25"/>
        <v>42.25</v>
      </c>
      <c r="BJ61" s="16">
        <f t="shared" si="26"/>
        <v>211250</v>
      </c>
      <c r="BK61" s="4">
        <f t="shared" si="27"/>
        <v>5</v>
      </c>
      <c r="BL61" s="4">
        <f t="shared" si="28"/>
        <v>297</v>
      </c>
      <c r="BM61" s="16">
        <f t="shared" si="29"/>
        <v>445500</v>
      </c>
      <c r="BN61" s="4">
        <f t="shared" si="30"/>
        <v>13</v>
      </c>
      <c r="BO61" s="4">
        <f t="shared" si="31"/>
        <v>1335</v>
      </c>
      <c r="BP61" s="16">
        <f t="shared" si="32"/>
        <v>2002500</v>
      </c>
      <c r="BQ61" s="4">
        <f t="shared" si="33"/>
        <v>6</v>
      </c>
      <c r="BR61" s="4">
        <f t="shared" si="34"/>
        <v>0</v>
      </c>
      <c r="BS61" s="16">
        <f t="shared" si="35"/>
        <v>0</v>
      </c>
      <c r="BT61" s="4">
        <f t="shared" si="36"/>
        <v>0</v>
      </c>
      <c r="BU61" s="4">
        <f t="shared" si="15"/>
        <v>1768.15</v>
      </c>
      <c r="BV61" s="16">
        <f t="shared" si="16"/>
        <v>2887500</v>
      </c>
      <c r="BW61" s="4">
        <f t="shared" si="17"/>
        <v>35</v>
      </c>
    </row>
    <row r="62" spans="1:75" x14ac:dyDescent="0.25">
      <c r="A62" s="2" t="s">
        <v>59</v>
      </c>
      <c r="B62" s="4">
        <v>2020</v>
      </c>
      <c r="C62" s="4">
        <v>0</v>
      </c>
      <c r="D62" s="4" t="str">
        <f t="shared" si="18"/>
        <v>$0.00</v>
      </c>
      <c r="E62" s="16">
        <v>0</v>
      </c>
      <c r="F62" s="4">
        <v>0</v>
      </c>
      <c r="G62" s="4">
        <v>0</v>
      </c>
      <c r="H62" s="4" t="str">
        <f t="shared" si="19"/>
        <v>$0.00</v>
      </c>
      <c r="I62" s="16">
        <v>0</v>
      </c>
      <c r="J62" s="4">
        <v>0</v>
      </c>
      <c r="K62" s="4">
        <v>0</v>
      </c>
      <c r="L62" s="4" t="str">
        <f t="shared" si="20"/>
        <v>$0.00</v>
      </c>
      <c r="M62" s="16">
        <v>0</v>
      </c>
      <c r="N62" s="4">
        <v>0</v>
      </c>
      <c r="O62" s="4">
        <v>0</v>
      </c>
      <c r="P62" s="4" t="str">
        <f t="shared" si="21"/>
        <v>$0.00</v>
      </c>
      <c r="Q62" s="16">
        <v>0</v>
      </c>
      <c r="R62" s="4">
        <v>0</v>
      </c>
      <c r="S62" s="4">
        <v>0</v>
      </c>
      <c r="T62" s="16">
        <v>0</v>
      </c>
      <c r="U62" s="4">
        <v>0</v>
      </c>
      <c r="V62" s="4" t="s">
        <v>129</v>
      </c>
      <c r="W62" s="4">
        <v>2021</v>
      </c>
      <c r="X62" s="4">
        <v>0</v>
      </c>
      <c r="Y62" s="16">
        <v>0</v>
      </c>
      <c r="Z62" s="4">
        <v>0</v>
      </c>
      <c r="AA62" s="4">
        <v>0</v>
      </c>
      <c r="AB62" s="16">
        <v>0</v>
      </c>
      <c r="AC62" s="4">
        <v>0</v>
      </c>
      <c r="AD62" s="4">
        <v>0</v>
      </c>
      <c r="AE62" s="16">
        <v>0</v>
      </c>
      <c r="AF62" s="4">
        <v>0</v>
      </c>
      <c r="AG62" s="4">
        <v>0</v>
      </c>
      <c r="AH62" s="16">
        <v>0</v>
      </c>
      <c r="AI62" s="4">
        <v>0</v>
      </c>
      <c r="AJ62" s="4">
        <v>0</v>
      </c>
      <c r="AK62" s="16">
        <v>0</v>
      </c>
      <c r="AL62" s="28">
        <v>0</v>
      </c>
      <c r="AM62" s="4"/>
      <c r="AN62" s="2" t="s">
        <v>60</v>
      </c>
      <c r="AO62" s="4">
        <v>2022</v>
      </c>
      <c r="AP62" s="4">
        <v>44.5</v>
      </c>
      <c r="AQ62" s="16">
        <v>111250</v>
      </c>
      <c r="AR62" s="4">
        <v>5</v>
      </c>
      <c r="AS62" s="4"/>
      <c r="AT62" s="16"/>
      <c r="AU62" s="4">
        <v>0</v>
      </c>
      <c r="AV62" s="4">
        <v>103</v>
      </c>
      <c r="AW62" s="16">
        <v>154500</v>
      </c>
      <c r="AX62" s="4">
        <v>5</v>
      </c>
      <c r="AY62" s="4">
        <v>686</v>
      </c>
      <c r="AZ62" s="16">
        <v>1029000</v>
      </c>
      <c r="BA62" s="4">
        <v>3</v>
      </c>
      <c r="BB62" s="4">
        <v>0</v>
      </c>
      <c r="BC62" s="16">
        <v>0</v>
      </c>
      <c r="BD62" s="4">
        <v>0</v>
      </c>
      <c r="BE62" s="4"/>
      <c r="BF62" s="4">
        <f t="shared" si="22"/>
        <v>0</v>
      </c>
      <c r="BG62" s="16">
        <f t="shared" si="23"/>
        <v>0</v>
      </c>
      <c r="BH62" s="4">
        <f t="shared" si="24"/>
        <v>0</v>
      </c>
      <c r="BI62" s="4">
        <f t="shared" si="25"/>
        <v>0</v>
      </c>
      <c r="BJ62" s="16">
        <f t="shared" si="26"/>
        <v>0</v>
      </c>
      <c r="BK62" s="4">
        <f t="shared" si="27"/>
        <v>0</v>
      </c>
      <c r="BL62" s="4">
        <f t="shared" si="28"/>
        <v>0</v>
      </c>
      <c r="BM62" s="16">
        <f t="shared" si="29"/>
        <v>0</v>
      </c>
      <c r="BN62" s="4">
        <f t="shared" si="30"/>
        <v>0</v>
      </c>
      <c r="BO62" s="4">
        <f t="shared" si="31"/>
        <v>0</v>
      </c>
      <c r="BP62" s="16">
        <f t="shared" si="32"/>
        <v>0</v>
      </c>
      <c r="BQ62" s="4">
        <f t="shared" si="33"/>
        <v>0</v>
      </c>
      <c r="BR62" s="4">
        <f t="shared" si="34"/>
        <v>1</v>
      </c>
      <c r="BS62" s="16">
        <f t="shared" si="35"/>
        <v>25000</v>
      </c>
      <c r="BT62" s="4">
        <f t="shared" si="36"/>
        <v>1</v>
      </c>
      <c r="BU62" s="4">
        <f t="shared" si="15"/>
        <v>0</v>
      </c>
      <c r="BV62" s="16">
        <f t="shared" si="16"/>
        <v>25000</v>
      </c>
      <c r="BW62" s="4">
        <f t="shared" si="17"/>
        <v>1</v>
      </c>
    </row>
    <row r="63" spans="1:75" x14ac:dyDescent="0.25">
      <c r="A63" s="2" t="s">
        <v>60</v>
      </c>
      <c r="B63" s="4">
        <v>2020</v>
      </c>
      <c r="C63" s="4">
        <v>13</v>
      </c>
      <c r="D63" s="4" t="str">
        <f t="shared" si="18"/>
        <v>$26,000.00</v>
      </c>
      <c r="E63" s="16">
        <v>26000</v>
      </c>
      <c r="F63" s="4">
        <v>1</v>
      </c>
      <c r="G63" s="4">
        <v>11</v>
      </c>
      <c r="H63" s="4" t="str">
        <f t="shared" si="19"/>
        <v>$55,000.00</v>
      </c>
      <c r="I63" s="16">
        <v>55000</v>
      </c>
      <c r="J63" s="4">
        <v>3</v>
      </c>
      <c r="K63" s="4">
        <v>95</v>
      </c>
      <c r="L63" s="4" t="str">
        <f t="shared" si="20"/>
        <v>$142,500.00</v>
      </c>
      <c r="M63" s="16">
        <v>142500</v>
      </c>
      <c r="N63" s="4">
        <v>3</v>
      </c>
      <c r="O63" s="4">
        <v>397</v>
      </c>
      <c r="P63" s="4" t="str">
        <f t="shared" si="21"/>
        <v>$595,500.00</v>
      </c>
      <c r="Q63" s="16">
        <v>595500</v>
      </c>
      <c r="R63" s="4">
        <v>2</v>
      </c>
      <c r="S63" s="4">
        <v>0</v>
      </c>
      <c r="T63" s="16">
        <v>0</v>
      </c>
      <c r="U63" s="4">
        <v>0</v>
      </c>
      <c r="V63" s="4" t="s">
        <v>61</v>
      </c>
      <c r="W63" s="4">
        <v>2021</v>
      </c>
      <c r="X63" s="4">
        <v>0</v>
      </c>
      <c r="Y63" s="16">
        <v>0</v>
      </c>
      <c r="Z63" s="4">
        <v>0</v>
      </c>
      <c r="AA63" s="4">
        <v>0</v>
      </c>
      <c r="AB63" s="16">
        <v>0</v>
      </c>
      <c r="AC63" s="4">
        <v>0</v>
      </c>
      <c r="AD63" s="4">
        <v>0</v>
      </c>
      <c r="AE63" s="16">
        <v>0</v>
      </c>
      <c r="AF63" s="4">
        <v>0</v>
      </c>
      <c r="AG63" s="4">
        <v>0</v>
      </c>
      <c r="AH63" s="16">
        <v>0</v>
      </c>
      <c r="AI63" s="4">
        <v>0</v>
      </c>
      <c r="AJ63" s="4">
        <v>0</v>
      </c>
      <c r="AK63" s="16">
        <v>0</v>
      </c>
      <c r="AL63" s="28">
        <v>0</v>
      </c>
      <c r="AM63" s="4"/>
      <c r="AN63" s="2" t="s">
        <v>129</v>
      </c>
      <c r="AO63" s="4">
        <v>2022</v>
      </c>
      <c r="AP63" s="4">
        <v>0</v>
      </c>
      <c r="AQ63" s="16">
        <v>0</v>
      </c>
      <c r="AR63" s="4">
        <v>0</v>
      </c>
      <c r="AS63" s="4"/>
      <c r="AT63" s="16"/>
      <c r="AU63" s="4">
        <v>0</v>
      </c>
      <c r="AV63" s="4">
        <v>0</v>
      </c>
      <c r="AW63" s="16">
        <v>0</v>
      </c>
      <c r="AX63" s="4">
        <v>0</v>
      </c>
      <c r="AY63" s="4">
        <v>0</v>
      </c>
      <c r="AZ63" s="16">
        <v>0</v>
      </c>
      <c r="BA63" s="4">
        <v>0</v>
      </c>
      <c r="BB63" s="4">
        <v>0</v>
      </c>
      <c r="BC63" s="16">
        <v>0</v>
      </c>
      <c r="BD63" s="4">
        <v>0</v>
      </c>
      <c r="BE63" s="4"/>
      <c r="BF63" s="4">
        <f t="shared" si="22"/>
        <v>0</v>
      </c>
      <c r="BG63" s="16">
        <f t="shared" si="23"/>
        <v>0</v>
      </c>
      <c r="BH63" s="4">
        <f t="shared" si="24"/>
        <v>0</v>
      </c>
      <c r="BI63" s="4">
        <f t="shared" si="25"/>
        <v>0</v>
      </c>
      <c r="BJ63" s="16">
        <f t="shared" si="26"/>
        <v>0</v>
      </c>
      <c r="BK63" s="4">
        <f t="shared" si="27"/>
        <v>0</v>
      </c>
      <c r="BL63" s="4">
        <f t="shared" si="28"/>
        <v>0</v>
      </c>
      <c r="BM63" s="16">
        <f t="shared" si="29"/>
        <v>0</v>
      </c>
      <c r="BN63" s="4">
        <f t="shared" si="30"/>
        <v>0</v>
      </c>
      <c r="BO63" s="4">
        <f t="shared" si="31"/>
        <v>0</v>
      </c>
      <c r="BP63" s="16">
        <f t="shared" si="32"/>
        <v>0</v>
      </c>
      <c r="BQ63" s="4">
        <f t="shared" si="33"/>
        <v>0</v>
      </c>
      <c r="BR63" s="4">
        <f t="shared" si="34"/>
        <v>0</v>
      </c>
      <c r="BS63" s="16">
        <f t="shared" si="35"/>
        <v>0</v>
      </c>
      <c r="BT63" s="4">
        <f t="shared" si="36"/>
        <v>0</v>
      </c>
      <c r="BU63" s="4">
        <f t="shared" si="15"/>
        <v>0</v>
      </c>
      <c r="BV63" s="16">
        <f t="shared" si="16"/>
        <v>0</v>
      </c>
      <c r="BW63" s="4">
        <f t="shared" si="17"/>
        <v>0</v>
      </c>
    </row>
    <row r="64" spans="1:75" x14ac:dyDescent="0.25">
      <c r="A64" s="2" t="s">
        <v>129</v>
      </c>
      <c r="B64" s="4">
        <v>2020</v>
      </c>
      <c r="C64" s="4">
        <v>0</v>
      </c>
      <c r="D64" s="4" t="str">
        <f t="shared" si="18"/>
        <v>$0.00</v>
      </c>
      <c r="E64" s="16">
        <v>0</v>
      </c>
      <c r="F64" s="4">
        <v>0</v>
      </c>
      <c r="G64" s="4">
        <v>0</v>
      </c>
      <c r="H64" s="4" t="str">
        <f t="shared" si="19"/>
        <v>$0.00</v>
      </c>
      <c r="I64" s="16">
        <v>0</v>
      </c>
      <c r="J64" s="4">
        <v>0</v>
      </c>
      <c r="K64" s="4">
        <v>0</v>
      </c>
      <c r="L64" s="4" t="str">
        <f t="shared" si="20"/>
        <v>$0.00</v>
      </c>
      <c r="M64" s="16">
        <v>0</v>
      </c>
      <c r="N64" s="4">
        <v>0</v>
      </c>
      <c r="O64" s="4">
        <v>0</v>
      </c>
      <c r="P64" s="4" t="str">
        <f t="shared" si="21"/>
        <v>$0.00</v>
      </c>
      <c r="Q64" s="16">
        <v>0</v>
      </c>
      <c r="R64" s="4">
        <v>0</v>
      </c>
      <c r="S64" s="4">
        <v>1</v>
      </c>
      <c r="T64" s="16">
        <v>25000</v>
      </c>
      <c r="U64" s="4">
        <v>1</v>
      </c>
      <c r="V64" s="4" t="s">
        <v>140</v>
      </c>
      <c r="W64" s="4">
        <v>2021</v>
      </c>
      <c r="X64" s="4">
        <v>0</v>
      </c>
      <c r="Y64" s="16">
        <v>0</v>
      </c>
      <c r="Z64" s="4">
        <v>0</v>
      </c>
      <c r="AA64" s="4">
        <v>0</v>
      </c>
      <c r="AB64" s="16">
        <v>0</v>
      </c>
      <c r="AC64" s="4">
        <v>0</v>
      </c>
      <c r="AD64" s="4">
        <v>0</v>
      </c>
      <c r="AE64" s="16">
        <v>0</v>
      </c>
      <c r="AF64" s="4">
        <v>0</v>
      </c>
      <c r="AG64" s="4">
        <v>0</v>
      </c>
      <c r="AH64" s="16">
        <v>0</v>
      </c>
      <c r="AI64" s="4">
        <v>0</v>
      </c>
      <c r="AJ64" s="4">
        <v>0</v>
      </c>
      <c r="AK64" s="16">
        <v>0</v>
      </c>
      <c r="AL64" s="28">
        <v>0</v>
      </c>
      <c r="AM64" s="4"/>
      <c r="AN64" s="2" t="s">
        <v>61</v>
      </c>
      <c r="AO64" s="4">
        <v>2022</v>
      </c>
      <c r="AP64" s="4">
        <v>0</v>
      </c>
      <c r="AQ64" s="16">
        <v>0</v>
      </c>
      <c r="AR64" s="4">
        <v>0</v>
      </c>
      <c r="AS64" s="4"/>
      <c r="AT64" s="16"/>
      <c r="AU64" s="4">
        <v>0</v>
      </c>
      <c r="AV64" s="4">
        <v>0</v>
      </c>
      <c r="AW64" s="16">
        <v>0</v>
      </c>
      <c r="AX64" s="4">
        <v>0</v>
      </c>
      <c r="AY64" s="4">
        <v>0</v>
      </c>
      <c r="AZ64" s="16">
        <v>0</v>
      </c>
      <c r="BA64" s="4">
        <v>0</v>
      </c>
      <c r="BB64" s="4">
        <v>0</v>
      </c>
      <c r="BC64" s="16">
        <v>0</v>
      </c>
      <c r="BD64" s="4">
        <v>0</v>
      </c>
      <c r="BE64" s="4"/>
      <c r="BF64" s="4">
        <f t="shared" si="22"/>
        <v>0</v>
      </c>
      <c r="BG64" s="16">
        <f t="shared" si="23"/>
        <v>0</v>
      </c>
      <c r="BH64" s="4">
        <f t="shared" si="24"/>
        <v>0</v>
      </c>
      <c r="BI64" s="4">
        <f t="shared" si="25"/>
        <v>0</v>
      </c>
      <c r="BJ64" s="16">
        <f t="shared" si="26"/>
        <v>0</v>
      </c>
      <c r="BK64" s="4">
        <f t="shared" si="27"/>
        <v>0</v>
      </c>
      <c r="BL64" s="4">
        <f t="shared" si="28"/>
        <v>0</v>
      </c>
      <c r="BM64" s="16">
        <f t="shared" si="29"/>
        <v>0</v>
      </c>
      <c r="BN64" s="4">
        <f t="shared" si="30"/>
        <v>0</v>
      </c>
      <c r="BO64" s="4">
        <f t="shared" si="31"/>
        <v>0</v>
      </c>
      <c r="BP64" s="16">
        <f t="shared" si="32"/>
        <v>0</v>
      </c>
      <c r="BQ64" s="4">
        <f t="shared" si="33"/>
        <v>0</v>
      </c>
      <c r="BR64" s="4">
        <f t="shared" si="34"/>
        <v>0</v>
      </c>
      <c r="BS64" s="16">
        <f t="shared" si="35"/>
        <v>0</v>
      </c>
      <c r="BT64" s="4">
        <f t="shared" si="36"/>
        <v>0</v>
      </c>
      <c r="BU64" s="4">
        <f t="shared" si="15"/>
        <v>0</v>
      </c>
      <c r="BV64" s="16">
        <f t="shared" si="16"/>
        <v>0</v>
      </c>
      <c r="BW64" s="4">
        <f t="shared" si="17"/>
        <v>0</v>
      </c>
    </row>
    <row r="65" spans="1:75" x14ac:dyDescent="0.25">
      <c r="A65" s="2" t="s">
        <v>61</v>
      </c>
      <c r="B65" s="4">
        <v>2020</v>
      </c>
      <c r="C65" s="4">
        <v>0</v>
      </c>
      <c r="D65" s="4" t="str">
        <f t="shared" si="18"/>
        <v>$0.00</v>
      </c>
      <c r="E65" s="16">
        <v>0</v>
      </c>
      <c r="F65" s="4">
        <v>0</v>
      </c>
      <c r="G65" s="4">
        <v>0</v>
      </c>
      <c r="H65" s="4" t="str">
        <f t="shared" si="19"/>
        <v>$0.00</v>
      </c>
      <c r="I65" s="16">
        <v>0</v>
      </c>
      <c r="J65" s="4">
        <v>0</v>
      </c>
      <c r="K65" s="4">
        <v>0</v>
      </c>
      <c r="L65" s="4" t="str">
        <f t="shared" si="20"/>
        <v>$0.00</v>
      </c>
      <c r="M65" s="16">
        <v>0</v>
      </c>
      <c r="N65" s="4">
        <v>0</v>
      </c>
      <c r="O65" s="4">
        <v>0</v>
      </c>
      <c r="P65" s="4" t="str">
        <f t="shared" si="21"/>
        <v>$0.00</v>
      </c>
      <c r="Q65" s="16">
        <v>0</v>
      </c>
      <c r="R65" s="4">
        <v>0</v>
      </c>
      <c r="S65" s="4">
        <v>0</v>
      </c>
      <c r="T65" s="16">
        <v>0</v>
      </c>
      <c r="U65" s="4">
        <v>0</v>
      </c>
      <c r="V65" s="4" t="s">
        <v>130</v>
      </c>
      <c r="W65" s="4">
        <v>2021</v>
      </c>
      <c r="X65" s="4">
        <v>18.850000000000001</v>
      </c>
      <c r="Y65" s="16">
        <v>47125</v>
      </c>
      <c r="Z65" s="4">
        <v>2</v>
      </c>
      <c r="AA65" s="4">
        <v>12.12</v>
      </c>
      <c r="AB65" s="16">
        <v>120600</v>
      </c>
      <c r="AC65" s="4">
        <v>8</v>
      </c>
      <c r="AD65" s="4">
        <v>148</v>
      </c>
      <c r="AE65" s="16">
        <v>222000</v>
      </c>
      <c r="AF65" s="4">
        <v>4</v>
      </c>
      <c r="AG65" s="4">
        <v>886.48</v>
      </c>
      <c r="AH65" s="16">
        <v>1329720</v>
      </c>
      <c r="AI65" s="4">
        <v>8</v>
      </c>
      <c r="AJ65" s="4">
        <v>3</v>
      </c>
      <c r="AK65" s="16">
        <v>110000</v>
      </c>
      <c r="AL65" s="28">
        <v>3</v>
      </c>
      <c r="AM65" s="4"/>
      <c r="AN65" s="2" t="s">
        <v>140</v>
      </c>
      <c r="AO65" s="4">
        <v>2022</v>
      </c>
      <c r="AP65" s="4">
        <v>0</v>
      </c>
      <c r="AQ65" s="16">
        <v>0</v>
      </c>
      <c r="AR65" s="4">
        <v>0</v>
      </c>
      <c r="AS65" s="4"/>
      <c r="AT65" s="16"/>
      <c r="AU65" s="4">
        <v>0</v>
      </c>
      <c r="AV65" s="4">
        <v>0</v>
      </c>
      <c r="AW65" s="16">
        <v>0</v>
      </c>
      <c r="AX65" s="4">
        <v>0</v>
      </c>
      <c r="AY65" s="4">
        <v>0</v>
      </c>
      <c r="AZ65" s="16">
        <v>0</v>
      </c>
      <c r="BA65" s="4">
        <v>0</v>
      </c>
      <c r="BB65" s="4">
        <v>0</v>
      </c>
      <c r="BC65" s="16">
        <v>0</v>
      </c>
      <c r="BD65" s="4">
        <v>0</v>
      </c>
      <c r="BE65" s="4"/>
      <c r="BF65" s="4">
        <f t="shared" si="22"/>
        <v>55.85</v>
      </c>
      <c r="BG65" s="16">
        <f t="shared" si="23"/>
        <v>121625</v>
      </c>
      <c r="BH65" s="4">
        <f t="shared" si="24"/>
        <v>5</v>
      </c>
      <c r="BI65" s="4">
        <f t="shared" si="25"/>
        <v>18.319999999999997</v>
      </c>
      <c r="BJ65" s="16">
        <f t="shared" si="26"/>
        <v>151600</v>
      </c>
      <c r="BK65" s="4">
        <f t="shared" si="27"/>
        <v>12</v>
      </c>
      <c r="BL65" s="4">
        <f t="shared" si="28"/>
        <v>398</v>
      </c>
      <c r="BM65" s="16">
        <f t="shared" si="29"/>
        <v>597000</v>
      </c>
      <c r="BN65" s="4">
        <f t="shared" si="30"/>
        <v>11</v>
      </c>
      <c r="BO65" s="4">
        <f t="shared" si="31"/>
        <v>2628.44</v>
      </c>
      <c r="BP65" s="16">
        <f t="shared" si="32"/>
        <v>3942660</v>
      </c>
      <c r="BQ65" s="4">
        <f t="shared" si="33"/>
        <v>23</v>
      </c>
      <c r="BR65" s="4">
        <f t="shared" si="34"/>
        <v>6</v>
      </c>
      <c r="BS65" s="16">
        <f t="shared" si="35"/>
        <v>255000</v>
      </c>
      <c r="BT65" s="4">
        <f t="shared" si="36"/>
        <v>6</v>
      </c>
      <c r="BU65" s="4">
        <f t="shared" si="15"/>
        <v>3100.61</v>
      </c>
      <c r="BV65" s="16">
        <f t="shared" si="16"/>
        <v>5067885</v>
      </c>
      <c r="BW65" s="4">
        <f t="shared" si="17"/>
        <v>57</v>
      </c>
    </row>
    <row r="66" spans="1:75" x14ac:dyDescent="0.25">
      <c r="A66" s="2" t="s">
        <v>140</v>
      </c>
      <c r="B66" s="4">
        <v>2020</v>
      </c>
      <c r="C66" s="4">
        <v>0</v>
      </c>
      <c r="D66" s="4" t="str">
        <f t="shared" si="18"/>
        <v>$0.00</v>
      </c>
      <c r="E66" s="16">
        <v>0</v>
      </c>
      <c r="F66" s="4">
        <v>0</v>
      </c>
      <c r="G66" s="4">
        <v>0</v>
      </c>
      <c r="H66" s="4" t="str">
        <f t="shared" si="19"/>
        <v>$0.00</v>
      </c>
      <c r="I66" s="16">
        <v>0</v>
      </c>
      <c r="J66" s="4">
        <v>0</v>
      </c>
      <c r="K66" s="4">
        <v>0</v>
      </c>
      <c r="L66" s="4" t="str">
        <f t="shared" si="20"/>
        <v>$0.00</v>
      </c>
      <c r="M66" s="16">
        <v>0</v>
      </c>
      <c r="N66" s="4">
        <v>0</v>
      </c>
      <c r="O66" s="4">
        <v>0</v>
      </c>
      <c r="P66" s="4" t="str">
        <f t="shared" si="21"/>
        <v>$0.00</v>
      </c>
      <c r="Q66" s="16">
        <v>0</v>
      </c>
      <c r="R66" s="4">
        <v>0</v>
      </c>
      <c r="S66" s="4">
        <v>0</v>
      </c>
      <c r="T66" s="16">
        <v>0</v>
      </c>
      <c r="U66" s="4">
        <v>0</v>
      </c>
      <c r="V66" s="4" t="s">
        <v>62</v>
      </c>
      <c r="W66" s="4">
        <v>2021</v>
      </c>
      <c r="X66" s="4">
        <v>0</v>
      </c>
      <c r="Y66" s="16">
        <v>0</v>
      </c>
      <c r="Z66" s="4">
        <v>0</v>
      </c>
      <c r="AA66" s="4">
        <v>0</v>
      </c>
      <c r="AB66" s="16">
        <v>0</v>
      </c>
      <c r="AC66" s="4">
        <v>0</v>
      </c>
      <c r="AD66" s="4">
        <v>0</v>
      </c>
      <c r="AE66" s="16">
        <v>0</v>
      </c>
      <c r="AF66" s="4">
        <v>0</v>
      </c>
      <c r="AG66" s="4">
        <v>0</v>
      </c>
      <c r="AH66" s="16">
        <v>0</v>
      </c>
      <c r="AI66" s="4">
        <v>0</v>
      </c>
      <c r="AJ66" s="4">
        <v>0</v>
      </c>
      <c r="AK66" s="16">
        <v>0</v>
      </c>
      <c r="AL66" s="28">
        <v>0</v>
      </c>
      <c r="AM66" s="4"/>
      <c r="AN66" s="2" t="s">
        <v>130</v>
      </c>
      <c r="AO66" s="4">
        <v>2022</v>
      </c>
      <c r="AP66" s="4">
        <v>1</v>
      </c>
      <c r="AQ66" s="16">
        <v>2500</v>
      </c>
      <c r="AR66" s="4">
        <v>1</v>
      </c>
      <c r="AS66" s="4">
        <v>2.4</v>
      </c>
      <c r="AT66" s="16">
        <v>12000</v>
      </c>
      <c r="AU66" s="4">
        <v>2</v>
      </c>
      <c r="AV66" s="4">
        <v>148</v>
      </c>
      <c r="AW66" s="16">
        <v>222000</v>
      </c>
      <c r="AX66" s="4">
        <v>4</v>
      </c>
      <c r="AY66" s="4">
        <v>918.48</v>
      </c>
      <c r="AZ66" s="16">
        <v>1377720</v>
      </c>
      <c r="BA66" s="4">
        <v>9</v>
      </c>
      <c r="BB66" s="4">
        <v>1</v>
      </c>
      <c r="BC66" s="16">
        <v>65000</v>
      </c>
      <c r="BD66" s="4">
        <v>1</v>
      </c>
      <c r="BE66" s="4"/>
      <c r="BF66" s="4">
        <f t="shared" si="22"/>
        <v>6.72</v>
      </c>
      <c r="BG66" s="16">
        <f t="shared" si="23"/>
        <v>13440</v>
      </c>
      <c r="BH66" s="4">
        <f t="shared" si="24"/>
        <v>1</v>
      </c>
      <c r="BI66" s="4">
        <f t="shared" si="25"/>
        <v>56</v>
      </c>
      <c r="BJ66" s="16">
        <f t="shared" si="26"/>
        <v>280000</v>
      </c>
      <c r="BK66" s="4">
        <f t="shared" si="27"/>
        <v>5</v>
      </c>
      <c r="BL66" s="4">
        <f t="shared" si="28"/>
        <v>0</v>
      </c>
      <c r="BM66" s="16">
        <f t="shared" si="29"/>
        <v>0</v>
      </c>
      <c r="BN66" s="4">
        <f t="shared" si="30"/>
        <v>0</v>
      </c>
      <c r="BO66" s="4">
        <f t="shared" si="31"/>
        <v>0</v>
      </c>
      <c r="BP66" s="16">
        <f t="shared" si="32"/>
        <v>0</v>
      </c>
      <c r="BQ66" s="4">
        <f t="shared" si="33"/>
        <v>0</v>
      </c>
      <c r="BR66" s="4">
        <f t="shared" si="34"/>
        <v>0</v>
      </c>
      <c r="BS66" s="16">
        <f t="shared" si="35"/>
        <v>0</v>
      </c>
      <c r="BT66" s="4">
        <f t="shared" si="36"/>
        <v>0</v>
      </c>
      <c r="BU66" s="4">
        <f t="shared" si="15"/>
        <v>62.72</v>
      </c>
      <c r="BV66" s="16">
        <f t="shared" si="16"/>
        <v>293440</v>
      </c>
      <c r="BW66" s="4">
        <f t="shared" si="17"/>
        <v>6</v>
      </c>
    </row>
    <row r="67" spans="1:75" x14ac:dyDescent="0.25">
      <c r="A67" s="2" t="s">
        <v>130</v>
      </c>
      <c r="B67" s="4">
        <v>2020</v>
      </c>
      <c r="C67" s="4">
        <v>36</v>
      </c>
      <c r="D67" s="4" t="str">
        <f t="shared" si="18"/>
        <v>$72,000.00</v>
      </c>
      <c r="E67" s="16">
        <v>72000</v>
      </c>
      <c r="F67" s="4">
        <v>2</v>
      </c>
      <c r="G67" s="4">
        <v>3.8</v>
      </c>
      <c r="H67" s="4" t="str">
        <f t="shared" si="19"/>
        <v>$19,000.00</v>
      </c>
      <c r="I67" s="16">
        <v>19000</v>
      </c>
      <c r="J67" s="4">
        <v>2</v>
      </c>
      <c r="K67" s="4">
        <v>102</v>
      </c>
      <c r="L67" s="4" t="str">
        <f t="shared" si="20"/>
        <v>$153,000.00</v>
      </c>
      <c r="M67" s="16">
        <v>153000</v>
      </c>
      <c r="N67" s="4">
        <v>3</v>
      </c>
      <c r="O67" s="4">
        <v>823.48</v>
      </c>
      <c r="P67" s="4" t="str">
        <f t="shared" si="21"/>
        <v>$1,235,220.00</v>
      </c>
      <c r="Q67" s="16">
        <v>1235220</v>
      </c>
      <c r="R67" s="4">
        <v>6</v>
      </c>
      <c r="S67" s="4">
        <v>2</v>
      </c>
      <c r="T67" s="16">
        <v>80000</v>
      </c>
      <c r="U67" s="4">
        <v>2</v>
      </c>
      <c r="V67" s="4" t="s">
        <v>63</v>
      </c>
      <c r="W67" s="4">
        <v>2021</v>
      </c>
      <c r="X67" s="4">
        <v>0</v>
      </c>
      <c r="Y67" s="16">
        <v>0</v>
      </c>
      <c r="Z67" s="4">
        <v>0</v>
      </c>
      <c r="AA67" s="4">
        <v>0</v>
      </c>
      <c r="AB67" s="16">
        <v>0</v>
      </c>
      <c r="AC67" s="4">
        <v>0</v>
      </c>
      <c r="AD67" s="4">
        <v>29</v>
      </c>
      <c r="AE67" s="16">
        <v>43500</v>
      </c>
      <c r="AF67" s="4">
        <v>2</v>
      </c>
      <c r="AG67" s="4">
        <v>1475.47</v>
      </c>
      <c r="AH67" s="16">
        <v>2213205</v>
      </c>
      <c r="AI67" s="4">
        <v>5</v>
      </c>
      <c r="AJ67" s="4">
        <v>0</v>
      </c>
      <c r="AK67" s="16">
        <v>0</v>
      </c>
      <c r="AL67" s="28">
        <v>0</v>
      </c>
      <c r="AM67" s="4"/>
      <c r="AN67" s="2" t="s">
        <v>62</v>
      </c>
      <c r="AO67" s="4">
        <v>2022</v>
      </c>
      <c r="AP67" s="4">
        <v>0</v>
      </c>
      <c r="AQ67" s="16">
        <v>0</v>
      </c>
      <c r="AR67" s="4">
        <v>0</v>
      </c>
      <c r="AS67" s="4">
        <v>50</v>
      </c>
      <c r="AT67" s="16">
        <v>250000</v>
      </c>
      <c r="AU67" s="4">
        <v>1</v>
      </c>
      <c r="AV67" s="4">
        <v>0</v>
      </c>
      <c r="AW67" s="16">
        <v>0</v>
      </c>
      <c r="AX67" s="4">
        <v>0</v>
      </c>
      <c r="AY67" s="4">
        <v>0</v>
      </c>
      <c r="AZ67" s="16">
        <v>0</v>
      </c>
      <c r="BA67" s="4">
        <v>0</v>
      </c>
      <c r="BB67" s="4">
        <v>0</v>
      </c>
      <c r="BC67" s="16">
        <v>0</v>
      </c>
      <c r="BD67" s="4">
        <v>0</v>
      </c>
      <c r="BE67" s="4"/>
      <c r="BF67" s="4">
        <f t="shared" ref="BF67:BF98" si="37">C69+X67+AP68</f>
        <v>50</v>
      </c>
      <c r="BG67" s="16">
        <f t="shared" ref="BG67:BG98" si="38">E69+Y67+AQ68</f>
        <v>122500</v>
      </c>
      <c r="BH67" s="4">
        <f t="shared" ref="BH67:BH98" si="39">F69+Z67+AR68</f>
        <v>2</v>
      </c>
      <c r="BI67" s="4">
        <f t="shared" ref="BI67:BI98" si="40">G69+AA67+AS68</f>
        <v>2</v>
      </c>
      <c r="BJ67" s="16">
        <f t="shared" ref="BJ67:BJ98" si="41">I69+AB67+AT68</f>
        <v>10000</v>
      </c>
      <c r="BK67" s="4">
        <f t="shared" ref="BK67:BK98" si="42">J69+AC67+AU68</f>
        <v>1</v>
      </c>
      <c r="BL67" s="4">
        <f t="shared" ref="BL67:BL98" si="43">K69+AD67+AV68</f>
        <v>71</v>
      </c>
      <c r="BM67" s="16">
        <f t="shared" ref="BM67:BM98" si="44">M69+AE67+AW68</f>
        <v>106500</v>
      </c>
      <c r="BN67" s="4">
        <f t="shared" ref="BN67:BN98" si="45">N69+AF67+AX68</f>
        <v>5</v>
      </c>
      <c r="BO67" s="4">
        <f t="shared" ref="BO67:BO98" si="46">O69+AG67+AY68</f>
        <v>3826.41</v>
      </c>
      <c r="BP67" s="16">
        <f t="shared" ref="BP67:BP98" si="47">Q69+AH67+AZ68</f>
        <v>5739615</v>
      </c>
      <c r="BQ67" s="4">
        <f t="shared" ref="BQ67:BQ98" si="48">R69+AI67+BA68</f>
        <v>13</v>
      </c>
      <c r="BR67" s="4">
        <f t="shared" ref="BR67:BR98" si="49">S69+AJ67+BB68</f>
        <v>0</v>
      </c>
      <c r="BS67" s="16">
        <f t="shared" ref="BS67:BS98" si="50">T69+AK67+BC68</f>
        <v>0</v>
      </c>
      <c r="BT67" s="4">
        <f t="shared" ref="BT67:BT98" si="51">U69+AL67+BD68</f>
        <v>0</v>
      </c>
      <c r="BU67" s="4">
        <f t="shared" si="15"/>
        <v>3949.41</v>
      </c>
      <c r="BV67" s="16">
        <f t="shared" si="16"/>
        <v>5978615</v>
      </c>
      <c r="BW67" s="4">
        <f t="shared" si="17"/>
        <v>21</v>
      </c>
    </row>
    <row r="68" spans="1:75" x14ac:dyDescent="0.25">
      <c r="A68" s="2" t="s">
        <v>62</v>
      </c>
      <c r="B68" s="4">
        <v>2020</v>
      </c>
      <c r="C68" s="4">
        <v>6.72</v>
      </c>
      <c r="D68" s="4" t="str">
        <f t="shared" si="18"/>
        <v>$13,440.00</v>
      </c>
      <c r="E68" s="16">
        <v>13440</v>
      </c>
      <c r="F68" s="4">
        <v>1</v>
      </c>
      <c r="G68" s="4">
        <v>6</v>
      </c>
      <c r="H68" s="4" t="str">
        <f t="shared" si="19"/>
        <v>$30,000.00</v>
      </c>
      <c r="I68" s="16">
        <v>30000</v>
      </c>
      <c r="J68" s="4">
        <v>4</v>
      </c>
      <c r="K68" s="4">
        <v>0</v>
      </c>
      <c r="L68" s="4" t="str">
        <f t="shared" si="20"/>
        <v>$0.00</v>
      </c>
      <c r="M68" s="16">
        <v>0</v>
      </c>
      <c r="N68" s="4">
        <v>0</v>
      </c>
      <c r="O68" s="4">
        <v>0</v>
      </c>
      <c r="P68" s="4" t="str">
        <f t="shared" si="21"/>
        <v>$0.00</v>
      </c>
      <c r="Q68" s="16">
        <v>0</v>
      </c>
      <c r="R68" s="4">
        <v>0</v>
      </c>
      <c r="S68" s="4">
        <v>0</v>
      </c>
      <c r="T68" s="16">
        <v>0</v>
      </c>
      <c r="U68" s="4">
        <v>0</v>
      </c>
      <c r="V68" s="4" t="s">
        <v>64</v>
      </c>
      <c r="W68" s="4">
        <v>2021</v>
      </c>
      <c r="X68" s="4">
        <v>259</v>
      </c>
      <c r="Y68" s="16">
        <v>647500</v>
      </c>
      <c r="Z68" s="4">
        <v>2</v>
      </c>
      <c r="AA68" s="4">
        <v>40.5</v>
      </c>
      <c r="AB68" s="16">
        <v>217500</v>
      </c>
      <c r="AC68" s="4">
        <v>4</v>
      </c>
      <c r="AD68" s="4">
        <v>93</v>
      </c>
      <c r="AE68" s="16">
        <v>139500</v>
      </c>
      <c r="AF68" s="4">
        <v>20</v>
      </c>
      <c r="AG68" s="4">
        <v>899</v>
      </c>
      <c r="AH68" s="16">
        <v>1348500</v>
      </c>
      <c r="AI68" s="4">
        <v>3</v>
      </c>
      <c r="AJ68" s="4">
        <v>0</v>
      </c>
      <c r="AK68" s="16">
        <v>0</v>
      </c>
      <c r="AL68" s="28">
        <v>0</v>
      </c>
      <c r="AM68" s="4"/>
      <c r="AN68" s="2" t="s">
        <v>63</v>
      </c>
      <c r="AO68" s="4">
        <v>2022</v>
      </c>
      <c r="AP68" s="4">
        <v>45</v>
      </c>
      <c r="AQ68" s="16">
        <v>112500</v>
      </c>
      <c r="AR68" s="4">
        <v>1</v>
      </c>
      <c r="AS68" s="4"/>
      <c r="AT68" s="16"/>
      <c r="AU68" s="4">
        <v>0</v>
      </c>
      <c r="AV68" s="4">
        <v>19</v>
      </c>
      <c r="AW68" s="16">
        <v>28500</v>
      </c>
      <c r="AX68" s="4">
        <v>1</v>
      </c>
      <c r="AY68" s="4">
        <v>1175.47</v>
      </c>
      <c r="AZ68" s="16">
        <v>1763205</v>
      </c>
      <c r="BA68" s="4">
        <v>4</v>
      </c>
      <c r="BB68" s="4">
        <v>0</v>
      </c>
      <c r="BC68" s="16">
        <v>0</v>
      </c>
      <c r="BD68" s="4">
        <v>0</v>
      </c>
      <c r="BE68" s="4"/>
      <c r="BF68" s="4">
        <f t="shared" si="37"/>
        <v>691.23</v>
      </c>
      <c r="BG68" s="16">
        <f t="shared" si="38"/>
        <v>1688730</v>
      </c>
      <c r="BH68" s="4">
        <f t="shared" si="39"/>
        <v>6</v>
      </c>
      <c r="BI68" s="4">
        <f t="shared" si="40"/>
        <v>44.1</v>
      </c>
      <c r="BJ68" s="16">
        <f t="shared" si="41"/>
        <v>250500</v>
      </c>
      <c r="BK68" s="4">
        <f t="shared" si="42"/>
        <v>6</v>
      </c>
      <c r="BL68" s="4">
        <f t="shared" si="43"/>
        <v>309</v>
      </c>
      <c r="BM68" s="16">
        <f t="shared" si="44"/>
        <v>463500</v>
      </c>
      <c r="BN68" s="4">
        <f t="shared" si="45"/>
        <v>67</v>
      </c>
      <c r="BO68" s="4">
        <f t="shared" si="46"/>
        <v>2289</v>
      </c>
      <c r="BP68" s="16">
        <f t="shared" si="47"/>
        <v>3433500</v>
      </c>
      <c r="BQ68" s="4">
        <f t="shared" si="48"/>
        <v>7</v>
      </c>
      <c r="BR68" s="4">
        <f t="shared" si="49"/>
        <v>0</v>
      </c>
      <c r="BS68" s="16">
        <f t="shared" si="50"/>
        <v>0</v>
      </c>
      <c r="BT68" s="4">
        <f t="shared" si="51"/>
        <v>0</v>
      </c>
      <c r="BU68" s="4">
        <f t="shared" ref="BU68:BU127" si="52">BF68+BI68+BL68+BO68</f>
        <v>3333.33</v>
      </c>
      <c r="BV68" s="16">
        <f t="shared" ref="BV68:BV127" si="53">BG68+BJ68+BM68+BP68+BS68</f>
        <v>5836230</v>
      </c>
      <c r="BW68" s="4">
        <f t="shared" ref="BW68:BW127" si="54">BH68+BK68+BN68+BQ68+BT68</f>
        <v>86</v>
      </c>
    </row>
    <row r="69" spans="1:75" x14ac:dyDescent="0.25">
      <c r="A69" s="2" t="s">
        <v>63</v>
      </c>
      <c r="B69" s="4">
        <v>2020</v>
      </c>
      <c r="C69" s="4">
        <v>5</v>
      </c>
      <c r="D69" s="4" t="str">
        <f t="shared" si="18"/>
        <v>$10,000.00</v>
      </c>
      <c r="E69" s="16">
        <v>10000</v>
      </c>
      <c r="F69" s="4">
        <v>1</v>
      </c>
      <c r="G69" s="4">
        <v>2</v>
      </c>
      <c r="H69" s="4" t="str">
        <f t="shared" si="19"/>
        <v>$10,000.00</v>
      </c>
      <c r="I69" s="16">
        <v>10000</v>
      </c>
      <c r="J69" s="4">
        <v>1</v>
      </c>
      <c r="K69" s="4">
        <v>23</v>
      </c>
      <c r="L69" s="4" t="str">
        <f t="shared" si="20"/>
        <v>$34,500.00</v>
      </c>
      <c r="M69" s="16">
        <v>34500</v>
      </c>
      <c r="N69" s="4">
        <v>2</v>
      </c>
      <c r="O69" s="4">
        <v>1175.47</v>
      </c>
      <c r="P69" s="4" t="str">
        <f t="shared" si="21"/>
        <v>$1,763,205.00</v>
      </c>
      <c r="Q69" s="16">
        <v>1763205</v>
      </c>
      <c r="R69" s="4">
        <v>4</v>
      </c>
      <c r="S69" s="4">
        <v>0</v>
      </c>
      <c r="T69" s="16">
        <v>0</v>
      </c>
      <c r="U69" s="4">
        <v>0</v>
      </c>
      <c r="V69" s="4" t="s">
        <v>65</v>
      </c>
      <c r="W69" s="4">
        <v>2021</v>
      </c>
      <c r="X69" s="4">
        <v>120.53</v>
      </c>
      <c r="Y69" s="16">
        <v>301325</v>
      </c>
      <c r="Z69" s="4">
        <v>8</v>
      </c>
      <c r="AA69" s="4">
        <v>185.54</v>
      </c>
      <c r="AB69" s="16">
        <v>927700</v>
      </c>
      <c r="AC69" s="4">
        <v>43</v>
      </c>
      <c r="AD69" s="4">
        <v>352</v>
      </c>
      <c r="AE69" s="16">
        <v>528000</v>
      </c>
      <c r="AF69" s="4">
        <v>10</v>
      </c>
      <c r="AG69" s="4">
        <v>289</v>
      </c>
      <c r="AH69" s="16">
        <v>433500</v>
      </c>
      <c r="AI69" s="4">
        <v>4</v>
      </c>
      <c r="AJ69" s="4">
        <v>0</v>
      </c>
      <c r="AK69" s="16">
        <v>0</v>
      </c>
      <c r="AL69" s="28">
        <v>0</v>
      </c>
      <c r="AM69" s="4"/>
      <c r="AN69" s="2" t="s">
        <v>64</v>
      </c>
      <c r="AO69" s="4">
        <v>2022</v>
      </c>
      <c r="AP69" s="4">
        <v>138.85</v>
      </c>
      <c r="AQ69" s="16">
        <v>347125</v>
      </c>
      <c r="AR69" s="4">
        <v>2</v>
      </c>
      <c r="AS69" s="4">
        <v>1</v>
      </c>
      <c r="AT69" s="16">
        <v>20000</v>
      </c>
      <c r="AU69" s="4">
        <v>1</v>
      </c>
      <c r="AV69" s="4">
        <v>97</v>
      </c>
      <c r="AW69" s="16">
        <v>145500</v>
      </c>
      <c r="AX69" s="4">
        <v>22</v>
      </c>
      <c r="AY69" s="4">
        <v>1090</v>
      </c>
      <c r="AZ69" s="16">
        <v>1635000</v>
      </c>
      <c r="BA69" s="4">
        <v>3</v>
      </c>
      <c r="BB69" s="4">
        <v>0</v>
      </c>
      <c r="BC69" s="16">
        <v>0</v>
      </c>
      <c r="BD69" s="4">
        <v>0</v>
      </c>
      <c r="BE69" s="4"/>
      <c r="BF69" s="4">
        <f t="shared" si="37"/>
        <v>197.85</v>
      </c>
      <c r="BG69" s="16">
        <f t="shared" si="38"/>
        <v>511845</v>
      </c>
      <c r="BH69" s="4">
        <f t="shared" si="39"/>
        <v>12</v>
      </c>
      <c r="BI69" s="4">
        <f t="shared" si="40"/>
        <v>217.73999999999998</v>
      </c>
      <c r="BJ69" s="16">
        <f t="shared" si="41"/>
        <v>1088700</v>
      </c>
      <c r="BK69" s="4">
        <f t="shared" si="42"/>
        <v>50</v>
      </c>
      <c r="BL69" s="4">
        <f t="shared" si="43"/>
        <v>888</v>
      </c>
      <c r="BM69" s="16">
        <f t="shared" si="44"/>
        <v>1332000</v>
      </c>
      <c r="BN69" s="4">
        <f t="shared" si="45"/>
        <v>27</v>
      </c>
      <c r="BO69" s="4">
        <f t="shared" si="46"/>
        <v>847</v>
      </c>
      <c r="BP69" s="16">
        <f t="shared" si="47"/>
        <v>1270500</v>
      </c>
      <c r="BQ69" s="4">
        <f t="shared" si="48"/>
        <v>10</v>
      </c>
      <c r="BR69" s="4">
        <f t="shared" si="49"/>
        <v>0</v>
      </c>
      <c r="BS69" s="16">
        <f t="shared" si="50"/>
        <v>0</v>
      </c>
      <c r="BT69" s="4">
        <f t="shared" si="51"/>
        <v>0</v>
      </c>
      <c r="BU69" s="4">
        <f t="shared" si="52"/>
        <v>2150.59</v>
      </c>
      <c r="BV69" s="16">
        <f t="shared" si="53"/>
        <v>4203045</v>
      </c>
      <c r="BW69" s="4">
        <f t="shared" si="54"/>
        <v>99</v>
      </c>
    </row>
    <row r="70" spans="1:75" x14ac:dyDescent="0.25">
      <c r="A70" s="2" t="s">
        <v>64</v>
      </c>
      <c r="B70" s="4">
        <v>2020</v>
      </c>
      <c r="C70" s="4">
        <v>293.38</v>
      </c>
      <c r="D70" s="4" t="str">
        <f t="shared" ref="D70:D129" si="55">TEXT(E70,"$#,##0.00")</f>
        <v>$694,105.00</v>
      </c>
      <c r="E70" s="16">
        <v>694105</v>
      </c>
      <c r="F70" s="4">
        <v>2</v>
      </c>
      <c r="G70" s="4">
        <v>2.6</v>
      </c>
      <c r="H70" s="4" t="str">
        <f t="shared" ref="H70:H129" si="56">TEXT(I70,"$#,##0.00")</f>
        <v>$13,000.00</v>
      </c>
      <c r="I70" s="16">
        <v>13000</v>
      </c>
      <c r="J70" s="4">
        <v>1</v>
      </c>
      <c r="K70" s="4">
        <v>119</v>
      </c>
      <c r="L70" s="4" t="str">
        <f t="shared" ref="L70:L129" si="57">TEXT(M70,"$#,##0.00")</f>
        <v>$178,500.00</v>
      </c>
      <c r="M70" s="16">
        <v>178500</v>
      </c>
      <c r="N70" s="4">
        <v>25</v>
      </c>
      <c r="O70" s="4">
        <v>300</v>
      </c>
      <c r="P70" s="4" t="str">
        <f t="shared" ref="P70:P129" si="58">TEXT(Q70,"$#,##0.00")</f>
        <v>$450,000.00</v>
      </c>
      <c r="Q70" s="16">
        <v>450000</v>
      </c>
      <c r="R70" s="4">
        <v>1</v>
      </c>
      <c r="S70" s="4">
        <v>0</v>
      </c>
      <c r="T70" s="16">
        <v>0</v>
      </c>
      <c r="U70" s="4">
        <v>0</v>
      </c>
      <c r="V70" s="4" t="s">
        <v>66</v>
      </c>
      <c r="W70" s="4">
        <v>2021</v>
      </c>
      <c r="X70" s="4">
        <v>0</v>
      </c>
      <c r="Y70" s="16">
        <v>0</v>
      </c>
      <c r="Z70" s="4">
        <v>0</v>
      </c>
      <c r="AA70" s="4">
        <v>0</v>
      </c>
      <c r="AB70" s="16">
        <v>0</v>
      </c>
      <c r="AC70" s="4">
        <v>0</v>
      </c>
      <c r="AD70" s="4">
        <v>0</v>
      </c>
      <c r="AE70" s="16">
        <v>0</v>
      </c>
      <c r="AF70" s="4">
        <v>0</v>
      </c>
      <c r="AG70" s="4">
        <v>956.47</v>
      </c>
      <c r="AH70" s="16">
        <v>1434705</v>
      </c>
      <c r="AI70" s="4">
        <v>16</v>
      </c>
      <c r="AJ70" s="4">
        <v>0</v>
      </c>
      <c r="AK70" s="16">
        <v>0</v>
      </c>
      <c r="AL70" s="28">
        <v>0</v>
      </c>
      <c r="AM70" s="4"/>
      <c r="AN70" s="2" t="s">
        <v>65</v>
      </c>
      <c r="AO70" s="4">
        <v>2022</v>
      </c>
      <c r="AP70" s="4">
        <v>60.1</v>
      </c>
      <c r="AQ70" s="16">
        <v>150250</v>
      </c>
      <c r="AR70" s="4">
        <v>3</v>
      </c>
      <c r="AS70" s="4">
        <v>15</v>
      </c>
      <c r="AT70" s="16">
        <v>75000</v>
      </c>
      <c r="AU70" s="4">
        <v>2</v>
      </c>
      <c r="AV70" s="4">
        <v>235</v>
      </c>
      <c r="AW70" s="16">
        <v>352500</v>
      </c>
      <c r="AX70" s="4">
        <v>7</v>
      </c>
      <c r="AY70" s="4">
        <v>289</v>
      </c>
      <c r="AZ70" s="16">
        <v>433500</v>
      </c>
      <c r="BA70" s="4">
        <v>3</v>
      </c>
      <c r="BB70" s="4">
        <v>0</v>
      </c>
      <c r="BC70" s="16">
        <v>0</v>
      </c>
      <c r="BD70" s="4">
        <v>0</v>
      </c>
      <c r="BE70" s="4"/>
      <c r="BF70" s="4">
        <f t="shared" si="37"/>
        <v>8.4</v>
      </c>
      <c r="BG70" s="16">
        <f t="shared" si="38"/>
        <v>21000</v>
      </c>
      <c r="BH70" s="4">
        <f t="shared" si="39"/>
        <v>1</v>
      </c>
      <c r="BI70" s="4">
        <f t="shared" si="40"/>
        <v>3.15</v>
      </c>
      <c r="BJ70" s="16">
        <f t="shared" si="41"/>
        <v>15750</v>
      </c>
      <c r="BK70" s="4">
        <f t="shared" si="42"/>
        <v>1</v>
      </c>
      <c r="BL70" s="4">
        <f t="shared" si="43"/>
        <v>0</v>
      </c>
      <c r="BM70" s="16">
        <f t="shared" si="44"/>
        <v>0</v>
      </c>
      <c r="BN70" s="4">
        <f t="shared" si="45"/>
        <v>0</v>
      </c>
      <c r="BO70" s="4">
        <f t="shared" si="46"/>
        <v>2805.94</v>
      </c>
      <c r="BP70" s="16">
        <f t="shared" si="47"/>
        <v>4208910</v>
      </c>
      <c r="BQ70" s="4">
        <f t="shared" si="48"/>
        <v>42</v>
      </c>
      <c r="BR70" s="4">
        <f t="shared" si="49"/>
        <v>0</v>
      </c>
      <c r="BS70" s="16">
        <f t="shared" si="50"/>
        <v>0</v>
      </c>
      <c r="BT70" s="4">
        <f t="shared" si="51"/>
        <v>0</v>
      </c>
      <c r="BU70" s="4">
        <f t="shared" si="52"/>
        <v>2817.4900000000002</v>
      </c>
      <c r="BV70" s="16">
        <f t="shared" si="53"/>
        <v>4245660</v>
      </c>
      <c r="BW70" s="4">
        <f t="shared" si="54"/>
        <v>44</v>
      </c>
    </row>
    <row r="71" spans="1:75" x14ac:dyDescent="0.25">
      <c r="A71" s="2" t="s">
        <v>65</v>
      </c>
      <c r="B71" s="4">
        <v>2020</v>
      </c>
      <c r="C71" s="4">
        <v>17.22</v>
      </c>
      <c r="D71" s="4" t="str">
        <f t="shared" si="55"/>
        <v>$60,270.00</v>
      </c>
      <c r="E71" s="16">
        <v>60269.999999999993</v>
      </c>
      <c r="F71" s="4">
        <v>1</v>
      </c>
      <c r="G71" s="4">
        <v>17.2</v>
      </c>
      <c r="H71" s="4" t="str">
        <f t="shared" si="56"/>
        <v>$86,000.00</v>
      </c>
      <c r="I71" s="16">
        <v>86000</v>
      </c>
      <c r="J71" s="4">
        <v>5</v>
      </c>
      <c r="K71" s="4">
        <v>301</v>
      </c>
      <c r="L71" s="4" t="str">
        <f t="shared" si="57"/>
        <v>$451,500.00</v>
      </c>
      <c r="M71" s="16">
        <v>451500</v>
      </c>
      <c r="N71" s="4">
        <v>10</v>
      </c>
      <c r="O71" s="4">
        <v>269</v>
      </c>
      <c r="P71" s="4" t="str">
        <f t="shared" si="58"/>
        <v>$403,500.00</v>
      </c>
      <c r="Q71" s="16">
        <v>403500</v>
      </c>
      <c r="R71" s="4">
        <v>3</v>
      </c>
      <c r="S71" s="4">
        <v>0</v>
      </c>
      <c r="T71" s="16">
        <v>0</v>
      </c>
      <c r="U71" s="4">
        <v>0</v>
      </c>
      <c r="V71" s="4" t="s">
        <v>67</v>
      </c>
      <c r="W71" s="4">
        <v>2021</v>
      </c>
      <c r="X71" s="4">
        <v>47.2</v>
      </c>
      <c r="Y71" s="16">
        <v>118000</v>
      </c>
      <c r="Z71" s="4">
        <v>2</v>
      </c>
      <c r="AA71" s="4">
        <v>0</v>
      </c>
      <c r="AB71" s="16">
        <v>0</v>
      </c>
      <c r="AC71" s="4">
        <v>0</v>
      </c>
      <c r="AD71" s="4">
        <v>73</v>
      </c>
      <c r="AE71" s="16">
        <v>109500</v>
      </c>
      <c r="AF71" s="4">
        <v>1</v>
      </c>
      <c r="AG71" s="4">
        <v>327</v>
      </c>
      <c r="AH71" s="16">
        <v>490500</v>
      </c>
      <c r="AI71" s="4">
        <v>2</v>
      </c>
      <c r="AJ71" s="4">
        <v>0</v>
      </c>
      <c r="AK71" s="16">
        <v>0</v>
      </c>
      <c r="AL71" s="28">
        <v>0</v>
      </c>
      <c r="AM71" s="4"/>
      <c r="AN71" s="2" t="s">
        <v>66</v>
      </c>
      <c r="AO71" s="4">
        <v>2022</v>
      </c>
      <c r="AP71" s="4">
        <v>8.4</v>
      </c>
      <c r="AQ71" s="16">
        <v>21000</v>
      </c>
      <c r="AR71" s="4">
        <v>1</v>
      </c>
      <c r="AS71" s="4">
        <v>3.15</v>
      </c>
      <c r="AT71" s="16">
        <v>15750</v>
      </c>
      <c r="AU71" s="4">
        <v>1</v>
      </c>
      <c r="AV71" s="4">
        <v>0</v>
      </c>
      <c r="AW71" s="16">
        <v>0</v>
      </c>
      <c r="AX71" s="4">
        <v>0</v>
      </c>
      <c r="AY71" s="4">
        <v>1086.47</v>
      </c>
      <c r="AZ71" s="16">
        <v>1629705</v>
      </c>
      <c r="BA71" s="4">
        <v>15</v>
      </c>
      <c r="BB71" s="4">
        <v>0</v>
      </c>
      <c r="BC71" s="16">
        <v>0</v>
      </c>
      <c r="BD71" s="4">
        <v>0</v>
      </c>
      <c r="BE71" s="4"/>
      <c r="BF71" s="4">
        <f t="shared" si="37"/>
        <v>123.9</v>
      </c>
      <c r="BG71" s="16">
        <f t="shared" si="38"/>
        <v>298900</v>
      </c>
      <c r="BH71" s="4">
        <f t="shared" si="39"/>
        <v>5</v>
      </c>
      <c r="BI71" s="4">
        <f t="shared" si="40"/>
        <v>0</v>
      </c>
      <c r="BJ71" s="16">
        <f t="shared" si="41"/>
        <v>0</v>
      </c>
      <c r="BK71" s="4">
        <f t="shared" si="42"/>
        <v>0</v>
      </c>
      <c r="BL71" s="4">
        <f t="shared" si="43"/>
        <v>219</v>
      </c>
      <c r="BM71" s="16">
        <f t="shared" si="44"/>
        <v>328500</v>
      </c>
      <c r="BN71" s="4">
        <f t="shared" si="45"/>
        <v>3</v>
      </c>
      <c r="BO71" s="4">
        <f t="shared" si="46"/>
        <v>956</v>
      </c>
      <c r="BP71" s="16">
        <f t="shared" si="47"/>
        <v>1434000</v>
      </c>
      <c r="BQ71" s="4">
        <f t="shared" si="48"/>
        <v>6</v>
      </c>
      <c r="BR71" s="4">
        <f t="shared" si="49"/>
        <v>0</v>
      </c>
      <c r="BS71" s="16">
        <f t="shared" si="50"/>
        <v>0</v>
      </c>
      <c r="BT71" s="4">
        <f t="shared" si="51"/>
        <v>0</v>
      </c>
      <c r="BU71" s="4">
        <f t="shared" si="52"/>
        <v>1298.9000000000001</v>
      </c>
      <c r="BV71" s="16">
        <f t="shared" si="53"/>
        <v>2061400</v>
      </c>
      <c r="BW71" s="4">
        <f t="shared" si="54"/>
        <v>14</v>
      </c>
    </row>
    <row r="72" spans="1:75" x14ac:dyDescent="0.25">
      <c r="A72" s="2" t="s">
        <v>66</v>
      </c>
      <c r="B72" s="4">
        <v>2020</v>
      </c>
      <c r="C72" s="4">
        <v>0</v>
      </c>
      <c r="D72" s="4" t="str">
        <f t="shared" si="55"/>
        <v>$0.00</v>
      </c>
      <c r="E72" s="16">
        <v>0</v>
      </c>
      <c r="F72" s="4">
        <v>0</v>
      </c>
      <c r="G72" s="4">
        <v>0</v>
      </c>
      <c r="H72" s="4" t="str">
        <f t="shared" si="56"/>
        <v>$0.00</v>
      </c>
      <c r="I72" s="16">
        <v>0</v>
      </c>
      <c r="J72" s="4">
        <v>0</v>
      </c>
      <c r="K72" s="4">
        <v>0</v>
      </c>
      <c r="L72" s="4" t="str">
        <f t="shared" si="57"/>
        <v>$0.00</v>
      </c>
      <c r="M72" s="16">
        <v>0</v>
      </c>
      <c r="N72" s="4">
        <v>0</v>
      </c>
      <c r="O72" s="4">
        <v>763</v>
      </c>
      <c r="P72" s="4" t="str">
        <f t="shared" si="58"/>
        <v>$1,144,500.00</v>
      </c>
      <c r="Q72" s="16">
        <v>1144500</v>
      </c>
      <c r="R72" s="4">
        <v>11</v>
      </c>
      <c r="S72" s="4">
        <v>0</v>
      </c>
      <c r="T72" s="16">
        <v>0</v>
      </c>
      <c r="U72" s="4">
        <v>0</v>
      </c>
      <c r="V72" s="4" t="s">
        <v>68</v>
      </c>
      <c r="W72" s="4">
        <v>2021</v>
      </c>
      <c r="X72" s="4">
        <v>13</v>
      </c>
      <c r="Y72" s="16">
        <v>32500</v>
      </c>
      <c r="Z72" s="4">
        <v>1</v>
      </c>
      <c r="AA72" s="4">
        <v>0</v>
      </c>
      <c r="AB72" s="16">
        <v>0</v>
      </c>
      <c r="AC72" s="4">
        <v>0</v>
      </c>
      <c r="AD72" s="4">
        <v>0</v>
      </c>
      <c r="AE72" s="16">
        <v>0</v>
      </c>
      <c r="AF72" s="4">
        <v>0</v>
      </c>
      <c r="AG72" s="4">
        <v>266</v>
      </c>
      <c r="AH72" s="16">
        <v>399000</v>
      </c>
      <c r="AI72" s="4">
        <v>1</v>
      </c>
      <c r="AJ72" s="4">
        <v>0</v>
      </c>
      <c r="AK72" s="16">
        <v>0</v>
      </c>
      <c r="AL72" s="28">
        <v>0</v>
      </c>
      <c r="AM72" s="4"/>
      <c r="AN72" s="2" t="s">
        <v>67</v>
      </c>
      <c r="AO72" s="4">
        <v>2022</v>
      </c>
      <c r="AP72" s="4">
        <v>55</v>
      </c>
      <c r="AQ72" s="16">
        <v>137500</v>
      </c>
      <c r="AR72" s="4">
        <v>1</v>
      </c>
      <c r="AS72" s="4"/>
      <c r="AT72" s="16"/>
      <c r="AU72" s="4">
        <v>0</v>
      </c>
      <c r="AV72" s="4">
        <v>73</v>
      </c>
      <c r="AW72" s="16">
        <v>109500</v>
      </c>
      <c r="AX72" s="4">
        <v>1</v>
      </c>
      <c r="AY72" s="4">
        <v>307</v>
      </c>
      <c r="AZ72" s="16">
        <v>460500</v>
      </c>
      <c r="BA72" s="4">
        <v>2</v>
      </c>
      <c r="BB72" s="4">
        <v>0</v>
      </c>
      <c r="BC72" s="16">
        <v>0</v>
      </c>
      <c r="BD72" s="4">
        <v>0</v>
      </c>
      <c r="BE72" s="4"/>
      <c r="BF72" s="4">
        <f t="shared" si="37"/>
        <v>30</v>
      </c>
      <c r="BG72" s="16">
        <f t="shared" si="38"/>
        <v>92000</v>
      </c>
      <c r="BH72" s="4">
        <f t="shared" si="39"/>
        <v>2</v>
      </c>
      <c r="BI72" s="4">
        <f t="shared" si="40"/>
        <v>0</v>
      </c>
      <c r="BJ72" s="16">
        <f t="shared" si="41"/>
        <v>0</v>
      </c>
      <c r="BK72" s="4">
        <f t="shared" si="42"/>
        <v>0</v>
      </c>
      <c r="BL72" s="4">
        <f t="shared" si="43"/>
        <v>0</v>
      </c>
      <c r="BM72" s="16">
        <f t="shared" si="44"/>
        <v>0</v>
      </c>
      <c r="BN72" s="4">
        <f t="shared" si="45"/>
        <v>0</v>
      </c>
      <c r="BO72" s="4">
        <f t="shared" si="46"/>
        <v>798</v>
      </c>
      <c r="BP72" s="16">
        <f t="shared" si="47"/>
        <v>1197000</v>
      </c>
      <c r="BQ72" s="4">
        <f t="shared" si="48"/>
        <v>3</v>
      </c>
      <c r="BR72" s="4">
        <f t="shared" si="49"/>
        <v>1</v>
      </c>
      <c r="BS72" s="16">
        <f t="shared" si="50"/>
        <v>165000</v>
      </c>
      <c r="BT72" s="4">
        <f t="shared" si="51"/>
        <v>1</v>
      </c>
      <c r="BU72" s="4">
        <f t="shared" si="52"/>
        <v>828</v>
      </c>
      <c r="BV72" s="16">
        <f t="shared" si="53"/>
        <v>1454000</v>
      </c>
      <c r="BW72" s="4">
        <f t="shared" si="54"/>
        <v>6</v>
      </c>
    </row>
    <row r="73" spans="1:75" x14ac:dyDescent="0.25">
      <c r="A73" s="2" t="s">
        <v>67</v>
      </c>
      <c r="B73" s="4">
        <v>2020</v>
      </c>
      <c r="C73" s="4">
        <v>21.7</v>
      </c>
      <c r="D73" s="4" t="str">
        <f t="shared" si="55"/>
        <v>$43,400.00</v>
      </c>
      <c r="E73" s="16">
        <v>43400</v>
      </c>
      <c r="F73" s="4">
        <v>2</v>
      </c>
      <c r="G73" s="4">
        <v>0</v>
      </c>
      <c r="H73" s="4" t="str">
        <f t="shared" si="56"/>
        <v>$0.00</v>
      </c>
      <c r="I73" s="16">
        <v>0</v>
      </c>
      <c r="J73" s="4">
        <v>0</v>
      </c>
      <c r="K73" s="4">
        <v>73</v>
      </c>
      <c r="L73" s="4" t="str">
        <f t="shared" si="57"/>
        <v>$109,500.00</v>
      </c>
      <c r="M73" s="16">
        <v>109500</v>
      </c>
      <c r="N73" s="4">
        <v>1</v>
      </c>
      <c r="O73" s="4">
        <v>322</v>
      </c>
      <c r="P73" s="4" t="str">
        <f t="shared" si="58"/>
        <v>$483,000.00</v>
      </c>
      <c r="Q73" s="16">
        <v>483000</v>
      </c>
      <c r="R73" s="4">
        <v>2</v>
      </c>
      <c r="S73" s="4">
        <v>0</v>
      </c>
      <c r="T73" s="16">
        <v>0</v>
      </c>
      <c r="U73" s="4">
        <v>0</v>
      </c>
      <c r="V73" s="4" t="s">
        <v>69</v>
      </c>
      <c r="W73" s="4">
        <v>2021</v>
      </c>
      <c r="X73" s="4">
        <v>0</v>
      </c>
      <c r="Y73" s="16">
        <v>0</v>
      </c>
      <c r="Z73" s="4">
        <v>0</v>
      </c>
      <c r="AA73" s="4">
        <v>0</v>
      </c>
      <c r="AB73" s="16">
        <v>0</v>
      </c>
      <c r="AC73" s="4">
        <v>0</v>
      </c>
      <c r="AD73" s="4">
        <v>0</v>
      </c>
      <c r="AE73" s="16">
        <v>0</v>
      </c>
      <c r="AF73" s="4">
        <v>0</v>
      </c>
      <c r="AG73" s="4">
        <v>0</v>
      </c>
      <c r="AH73" s="16">
        <v>0</v>
      </c>
      <c r="AI73" s="4">
        <v>0</v>
      </c>
      <c r="AJ73" s="4">
        <v>0</v>
      </c>
      <c r="AK73" s="16">
        <v>0</v>
      </c>
      <c r="AL73" s="28">
        <v>0</v>
      </c>
      <c r="AM73" s="4"/>
      <c r="AN73" s="2" t="s">
        <v>68</v>
      </c>
      <c r="AO73" s="4">
        <v>2022</v>
      </c>
      <c r="AP73" s="4">
        <v>0</v>
      </c>
      <c r="AQ73" s="16">
        <v>0</v>
      </c>
      <c r="AR73" s="4">
        <v>0</v>
      </c>
      <c r="AS73" s="4"/>
      <c r="AT73" s="16"/>
      <c r="AU73" s="4">
        <v>0</v>
      </c>
      <c r="AV73" s="4">
        <v>0</v>
      </c>
      <c r="AW73" s="16">
        <v>0</v>
      </c>
      <c r="AX73" s="4">
        <v>0</v>
      </c>
      <c r="AY73" s="4">
        <v>266</v>
      </c>
      <c r="AZ73" s="16">
        <v>399000</v>
      </c>
      <c r="BA73" s="4">
        <v>1</v>
      </c>
      <c r="BB73" s="4">
        <v>1</v>
      </c>
      <c r="BC73" s="16">
        <v>165000</v>
      </c>
      <c r="BD73" s="4">
        <v>1</v>
      </c>
      <c r="BE73" s="4"/>
      <c r="BF73" s="4">
        <f t="shared" si="37"/>
        <v>0</v>
      </c>
      <c r="BG73" s="16">
        <f t="shared" si="38"/>
        <v>0</v>
      </c>
      <c r="BH73" s="4">
        <f t="shared" si="39"/>
        <v>0</v>
      </c>
      <c r="BI73" s="4">
        <f t="shared" si="40"/>
        <v>0</v>
      </c>
      <c r="BJ73" s="16">
        <f t="shared" si="41"/>
        <v>0</v>
      </c>
      <c r="BK73" s="4">
        <f t="shared" si="42"/>
        <v>0</v>
      </c>
      <c r="BL73" s="4">
        <f t="shared" si="43"/>
        <v>0</v>
      </c>
      <c r="BM73" s="16">
        <f t="shared" si="44"/>
        <v>0</v>
      </c>
      <c r="BN73" s="4">
        <f t="shared" si="45"/>
        <v>0</v>
      </c>
      <c r="BO73" s="4">
        <f t="shared" si="46"/>
        <v>0</v>
      </c>
      <c r="BP73" s="16">
        <f t="shared" si="47"/>
        <v>0</v>
      </c>
      <c r="BQ73" s="4">
        <f t="shared" si="48"/>
        <v>0</v>
      </c>
      <c r="BR73" s="4">
        <f t="shared" si="49"/>
        <v>0</v>
      </c>
      <c r="BS73" s="16">
        <f t="shared" si="50"/>
        <v>0</v>
      </c>
      <c r="BT73" s="4">
        <f t="shared" si="51"/>
        <v>0</v>
      </c>
      <c r="BU73" s="4">
        <f t="shared" si="52"/>
        <v>0</v>
      </c>
      <c r="BV73" s="16">
        <f t="shared" si="53"/>
        <v>0</v>
      </c>
      <c r="BW73" s="4">
        <f t="shared" si="54"/>
        <v>0</v>
      </c>
    </row>
    <row r="74" spans="1:75" x14ac:dyDescent="0.25">
      <c r="A74" s="2" t="s">
        <v>68</v>
      </c>
      <c r="B74" s="4">
        <v>2020</v>
      </c>
      <c r="C74" s="4">
        <v>17</v>
      </c>
      <c r="D74" s="4" t="str">
        <f t="shared" si="55"/>
        <v>$59,500.00</v>
      </c>
      <c r="E74" s="16">
        <v>59500</v>
      </c>
      <c r="F74" s="4">
        <v>1</v>
      </c>
      <c r="G74" s="4">
        <v>0</v>
      </c>
      <c r="H74" s="4" t="str">
        <f t="shared" si="56"/>
        <v>$0.00</v>
      </c>
      <c r="I74" s="16">
        <v>0</v>
      </c>
      <c r="J74" s="4">
        <v>0</v>
      </c>
      <c r="K74" s="4">
        <v>0</v>
      </c>
      <c r="L74" s="4" t="str">
        <f t="shared" si="57"/>
        <v>$0.00</v>
      </c>
      <c r="M74" s="16">
        <v>0</v>
      </c>
      <c r="N74" s="4">
        <v>0</v>
      </c>
      <c r="O74" s="4">
        <v>266</v>
      </c>
      <c r="P74" s="4" t="str">
        <f t="shared" si="58"/>
        <v>$399,000.00</v>
      </c>
      <c r="Q74" s="16">
        <v>399000</v>
      </c>
      <c r="R74" s="4">
        <v>1</v>
      </c>
      <c r="S74" s="4">
        <v>0</v>
      </c>
      <c r="T74" s="16">
        <v>0</v>
      </c>
      <c r="U74" s="4">
        <v>0</v>
      </c>
      <c r="V74" s="4" t="s">
        <v>131</v>
      </c>
      <c r="W74" s="4">
        <v>2021</v>
      </c>
      <c r="X74" s="4">
        <v>0</v>
      </c>
      <c r="Y74" s="16">
        <v>0</v>
      </c>
      <c r="Z74" s="4">
        <v>0</v>
      </c>
      <c r="AA74" s="4">
        <v>0</v>
      </c>
      <c r="AB74" s="16">
        <v>0</v>
      </c>
      <c r="AC74" s="4">
        <v>0</v>
      </c>
      <c r="AD74" s="4">
        <v>0</v>
      </c>
      <c r="AE74" s="16">
        <v>0</v>
      </c>
      <c r="AF74" s="4">
        <v>0</v>
      </c>
      <c r="AG74" s="4">
        <v>0</v>
      </c>
      <c r="AH74" s="16">
        <v>0</v>
      </c>
      <c r="AI74" s="4">
        <v>0</v>
      </c>
      <c r="AJ74" s="4">
        <v>0</v>
      </c>
      <c r="AK74" s="16">
        <v>0</v>
      </c>
      <c r="AL74" s="28">
        <v>0</v>
      </c>
      <c r="AM74" s="4"/>
      <c r="AN74" s="2" t="s">
        <v>69</v>
      </c>
      <c r="AO74" s="4">
        <v>2022</v>
      </c>
      <c r="AP74" s="4">
        <v>0</v>
      </c>
      <c r="AQ74" s="16">
        <v>0</v>
      </c>
      <c r="AR74" s="4">
        <v>0</v>
      </c>
      <c r="AS74" s="4"/>
      <c r="AT74" s="16"/>
      <c r="AU74" s="4">
        <v>0</v>
      </c>
      <c r="AV74" s="4">
        <v>0</v>
      </c>
      <c r="AW74" s="16">
        <v>0</v>
      </c>
      <c r="AX74" s="4">
        <v>0</v>
      </c>
      <c r="AY74" s="4">
        <v>0</v>
      </c>
      <c r="AZ74" s="16">
        <v>0</v>
      </c>
      <c r="BA74" s="4">
        <v>0</v>
      </c>
      <c r="BB74" s="4">
        <v>0</v>
      </c>
      <c r="BC74" s="16">
        <v>0</v>
      </c>
      <c r="BD74" s="4">
        <v>0</v>
      </c>
      <c r="BE74" s="4"/>
      <c r="BF74" s="4">
        <f t="shared" si="37"/>
        <v>0</v>
      </c>
      <c r="BG74" s="16">
        <f t="shared" si="38"/>
        <v>0</v>
      </c>
      <c r="BH74" s="4">
        <f t="shared" si="39"/>
        <v>0</v>
      </c>
      <c r="BI74" s="4">
        <f t="shared" si="40"/>
        <v>0</v>
      </c>
      <c r="BJ74" s="16">
        <f t="shared" si="41"/>
        <v>0</v>
      </c>
      <c r="BK74" s="4">
        <f t="shared" si="42"/>
        <v>0</v>
      </c>
      <c r="BL74" s="4">
        <f t="shared" si="43"/>
        <v>0</v>
      </c>
      <c r="BM74" s="16">
        <f t="shared" si="44"/>
        <v>0</v>
      </c>
      <c r="BN74" s="4">
        <f t="shared" si="45"/>
        <v>0</v>
      </c>
      <c r="BO74" s="4">
        <f t="shared" si="46"/>
        <v>0</v>
      </c>
      <c r="BP74" s="16">
        <f t="shared" si="47"/>
        <v>0</v>
      </c>
      <c r="BQ74" s="4">
        <f t="shared" si="48"/>
        <v>0</v>
      </c>
      <c r="BR74" s="4">
        <f t="shared" si="49"/>
        <v>0</v>
      </c>
      <c r="BS74" s="16">
        <f t="shared" si="50"/>
        <v>0</v>
      </c>
      <c r="BT74" s="4">
        <f t="shared" si="51"/>
        <v>0</v>
      </c>
      <c r="BU74" s="4">
        <f t="shared" si="52"/>
        <v>0</v>
      </c>
      <c r="BV74" s="16">
        <f t="shared" si="53"/>
        <v>0</v>
      </c>
      <c r="BW74" s="4">
        <f t="shared" si="54"/>
        <v>0</v>
      </c>
    </row>
    <row r="75" spans="1:75" x14ac:dyDescent="0.25">
      <c r="A75" s="2" t="s">
        <v>69</v>
      </c>
      <c r="B75" s="4">
        <v>2020</v>
      </c>
      <c r="C75" s="4">
        <v>0</v>
      </c>
      <c r="D75" s="4" t="str">
        <f t="shared" si="55"/>
        <v>$0.00</v>
      </c>
      <c r="E75" s="16">
        <v>0</v>
      </c>
      <c r="F75" s="4">
        <v>0</v>
      </c>
      <c r="G75" s="4">
        <v>0</v>
      </c>
      <c r="H75" s="4" t="str">
        <f t="shared" si="56"/>
        <v>$0.00</v>
      </c>
      <c r="I75" s="16">
        <v>0</v>
      </c>
      <c r="J75" s="4">
        <v>0</v>
      </c>
      <c r="K75" s="4">
        <v>0</v>
      </c>
      <c r="L75" s="4" t="str">
        <f t="shared" si="57"/>
        <v>$0.00</v>
      </c>
      <c r="M75" s="16">
        <v>0</v>
      </c>
      <c r="N75" s="4">
        <v>0</v>
      </c>
      <c r="O75" s="4">
        <v>0</v>
      </c>
      <c r="P75" s="4" t="str">
        <f t="shared" si="58"/>
        <v>$0.00</v>
      </c>
      <c r="Q75" s="16">
        <v>0</v>
      </c>
      <c r="R75" s="4">
        <v>0</v>
      </c>
      <c r="S75" s="4">
        <v>0</v>
      </c>
      <c r="T75" s="16">
        <v>0</v>
      </c>
      <c r="U75" s="4">
        <v>0</v>
      </c>
      <c r="V75" s="4" t="s">
        <v>141</v>
      </c>
      <c r="W75" s="4">
        <v>2021</v>
      </c>
      <c r="X75" s="4">
        <v>0</v>
      </c>
      <c r="Y75" s="16">
        <v>0</v>
      </c>
      <c r="Z75" s="4">
        <v>0</v>
      </c>
      <c r="AA75" s="4">
        <v>0</v>
      </c>
      <c r="AB75" s="16">
        <v>0</v>
      </c>
      <c r="AC75" s="4">
        <v>0</v>
      </c>
      <c r="AD75" s="4">
        <v>0</v>
      </c>
      <c r="AE75" s="16">
        <v>0</v>
      </c>
      <c r="AF75" s="4">
        <v>0</v>
      </c>
      <c r="AG75" s="4">
        <v>0</v>
      </c>
      <c r="AH75" s="16">
        <v>0</v>
      </c>
      <c r="AI75" s="4">
        <v>0</v>
      </c>
      <c r="AJ75" s="4">
        <v>0</v>
      </c>
      <c r="AK75" s="16">
        <v>0</v>
      </c>
      <c r="AL75" s="28">
        <v>0</v>
      </c>
      <c r="AM75" s="4"/>
      <c r="AN75" s="2" t="s">
        <v>131</v>
      </c>
      <c r="AO75" s="4">
        <v>2022</v>
      </c>
      <c r="AP75" s="4">
        <v>0</v>
      </c>
      <c r="AQ75" s="16">
        <v>0</v>
      </c>
      <c r="AR75" s="4">
        <v>0</v>
      </c>
      <c r="AS75" s="4"/>
      <c r="AT75" s="16"/>
      <c r="AU75" s="4">
        <v>0</v>
      </c>
      <c r="AV75" s="4">
        <v>0</v>
      </c>
      <c r="AW75" s="16">
        <v>0</v>
      </c>
      <c r="AX75" s="4">
        <v>0</v>
      </c>
      <c r="AY75" s="4">
        <v>0</v>
      </c>
      <c r="AZ75" s="16">
        <v>0</v>
      </c>
      <c r="BA75" s="4">
        <v>0</v>
      </c>
      <c r="BB75" s="4">
        <v>0</v>
      </c>
      <c r="BC75" s="16">
        <v>0</v>
      </c>
      <c r="BD75" s="4">
        <v>0</v>
      </c>
      <c r="BE75" s="4"/>
      <c r="BF75" s="4">
        <f t="shared" si="37"/>
        <v>0</v>
      </c>
      <c r="BG75" s="16">
        <f t="shared" si="38"/>
        <v>0</v>
      </c>
      <c r="BH75" s="4">
        <f t="shared" si="39"/>
        <v>0</v>
      </c>
      <c r="BI75" s="4">
        <f t="shared" si="40"/>
        <v>0</v>
      </c>
      <c r="BJ75" s="16">
        <f t="shared" si="41"/>
        <v>0</v>
      </c>
      <c r="BK75" s="4">
        <f t="shared" si="42"/>
        <v>0</v>
      </c>
      <c r="BL75" s="4">
        <f t="shared" si="43"/>
        <v>0</v>
      </c>
      <c r="BM75" s="16">
        <f t="shared" si="44"/>
        <v>0</v>
      </c>
      <c r="BN75" s="4">
        <f t="shared" si="45"/>
        <v>0</v>
      </c>
      <c r="BO75" s="4">
        <f t="shared" si="46"/>
        <v>0</v>
      </c>
      <c r="BP75" s="16">
        <f t="shared" si="47"/>
        <v>0</v>
      </c>
      <c r="BQ75" s="4">
        <f t="shared" si="48"/>
        <v>0</v>
      </c>
      <c r="BR75" s="4">
        <f t="shared" si="49"/>
        <v>0</v>
      </c>
      <c r="BS75" s="16">
        <f t="shared" si="50"/>
        <v>0</v>
      </c>
      <c r="BT75" s="4">
        <f t="shared" si="51"/>
        <v>0</v>
      </c>
      <c r="BU75" s="4">
        <f t="shared" si="52"/>
        <v>0</v>
      </c>
      <c r="BV75" s="16">
        <f t="shared" si="53"/>
        <v>0</v>
      </c>
      <c r="BW75" s="4">
        <f t="shared" si="54"/>
        <v>0</v>
      </c>
    </row>
    <row r="76" spans="1:75" x14ac:dyDescent="0.25">
      <c r="A76" s="2" t="s">
        <v>131</v>
      </c>
      <c r="B76" s="4">
        <v>2020</v>
      </c>
      <c r="C76" s="4">
        <v>0</v>
      </c>
      <c r="D76" s="4" t="str">
        <f t="shared" si="55"/>
        <v>$0.00</v>
      </c>
      <c r="E76" s="16">
        <v>0</v>
      </c>
      <c r="F76" s="4">
        <v>0</v>
      </c>
      <c r="G76" s="4">
        <v>0</v>
      </c>
      <c r="H76" s="4" t="str">
        <f t="shared" si="56"/>
        <v>$0.00</v>
      </c>
      <c r="I76" s="16">
        <v>0</v>
      </c>
      <c r="J76" s="4">
        <v>0</v>
      </c>
      <c r="K76" s="4">
        <v>0</v>
      </c>
      <c r="L76" s="4" t="str">
        <f t="shared" si="57"/>
        <v>$0.00</v>
      </c>
      <c r="M76" s="16">
        <v>0</v>
      </c>
      <c r="N76" s="4">
        <v>0</v>
      </c>
      <c r="O76" s="4">
        <v>0</v>
      </c>
      <c r="P76" s="4" t="str">
        <f t="shared" si="58"/>
        <v>$0.00</v>
      </c>
      <c r="Q76" s="16">
        <v>0</v>
      </c>
      <c r="R76" s="4">
        <v>0</v>
      </c>
      <c r="S76" s="4">
        <v>0</v>
      </c>
      <c r="T76" s="16">
        <v>0</v>
      </c>
      <c r="U76" s="4">
        <v>0</v>
      </c>
      <c r="V76" s="4" t="s">
        <v>70</v>
      </c>
      <c r="W76" s="4">
        <v>2021</v>
      </c>
      <c r="X76" s="4">
        <v>0</v>
      </c>
      <c r="Y76" s="16">
        <v>0</v>
      </c>
      <c r="Z76" s="4">
        <v>0</v>
      </c>
      <c r="AA76" s="4">
        <v>0</v>
      </c>
      <c r="AB76" s="16">
        <v>0</v>
      </c>
      <c r="AC76" s="4">
        <v>0</v>
      </c>
      <c r="AD76" s="4">
        <v>0</v>
      </c>
      <c r="AE76" s="16">
        <v>0</v>
      </c>
      <c r="AF76" s="4">
        <v>0</v>
      </c>
      <c r="AG76" s="4">
        <v>0</v>
      </c>
      <c r="AH76" s="16">
        <v>0</v>
      </c>
      <c r="AI76" s="4">
        <v>0</v>
      </c>
      <c r="AJ76" s="4">
        <v>0</v>
      </c>
      <c r="AK76" s="16">
        <v>0</v>
      </c>
      <c r="AL76" s="28">
        <v>0</v>
      </c>
      <c r="AM76" s="4"/>
      <c r="AN76" s="2" t="s">
        <v>141</v>
      </c>
      <c r="AO76" s="4">
        <v>2022</v>
      </c>
      <c r="AP76" s="4">
        <v>0</v>
      </c>
      <c r="AQ76" s="16">
        <v>0</v>
      </c>
      <c r="AR76" s="4">
        <v>0</v>
      </c>
      <c r="AS76" s="4"/>
      <c r="AT76" s="16"/>
      <c r="AU76" s="4">
        <v>0</v>
      </c>
      <c r="AV76" s="4">
        <v>0</v>
      </c>
      <c r="AW76" s="16">
        <v>0</v>
      </c>
      <c r="AX76" s="4">
        <v>0</v>
      </c>
      <c r="AY76" s="4">
        <v>0</v>
      </c>
      <c r="AZ76" s="16">
        <v>0</v>
      </c>
      <c r="BA76" s="4">
        <v>0</v>
      </c>
      <c r="BB76" s="4">
        <v>0</v>
      </c>
      <c r="BC76" s="16">
        <v>0</v>
      </c>
      <c r="BD76" s="4">
        <v>0</v>
      </c>
      <c r="BE76" s="4"/>
      <c r="BF76" s="4">
        <f t="shared" si="37"/>
        <v>0</v>
      </c>
      <c r="BG76" s="16">
        <f t="shared" si="38"/>
        <v>0</v>
      </c>
      <c r="BH76" s="4">
        <f t="shared" si="39"/>
        <v>0</v>
      </c>
      <c r="BI76" s="4">
        <f t="shared" si="40"/>
        <v>0</v>
      </c>
      <c r="BJ76" s="16">
        <f t="shared" si="41"/>
        <v>0</v>
      </c>
      <c r="BK76" s="4">
        <f t="shared" si="42"/>
        <v>0</v>
      </c>
      <c r="BL76" s="4">
        <f t="shared" si="43"/>
        <v>0</v>
      </c>
      <c r="BM76" s="16">
        <f t="shared" si="44"/>
        <v>0</v>
      </c>
      <c r="BN76" s="4">
        <f t="shared" si="45"/>
        <v>0</v>
      </c>
      <c r="BO76" s="4">
        <f t="shared" si="46"/>
        <v>0</v>
      </c>
      <c r="BP76" s="16">
        <f t="shared" si="47"/>
        <v>0</v>
      </c>
      <c r="BQ76" s="4">
        <f t="shared" si="48"/>
        <v>0</v>
      </c>
      <c r="BR76" s="4">
        <f t="shared" si="49"/>
        <v>0</v>
      </c>
      <c r="BS76" s="16">
        <f t="shared" si="50"/>
        <v>0</v>
      </c>
      <c r="BT76" s="4">
        <f t="shared" si="51"/>
        <v>0</v>
      </c>
      <c r="BU76" s="4">
        <f t="shared" si="52"/>
        <v>0</v>
      </c>
      <c r="BV76" s="16">
        <f t="shared" si="53"/>
        <v>0</v>
      </c>
      <c r="BW76" s="4">
        <f t="shared" si="54"/>
        <v>0</v>
      </c>
    </row>
    <row r="77" spans="1:75" x14ac:dyDescent="0.25">
      <c r="A77" s="2" t="s">
        <v>141</v>
      </c>
      <c r="B77" s="4">
        <v>2020</v>
      </c>
      <c r="C77" s="4">
        <v>0</v>
      </c>
      <c r="D77" s="4" t="str">
        <f t="shared" si="55"/>
        <v>$0.00</v>
      </c>
      <c r="E77" s="16">
        <v>0</v>
      </c>
      <c r="F77" s="4">
        <v>0</v>
      </c>
      <c r="G77" s="4">
        <v>0</v>
      </c>
      <c r="H77" s="4" t="str">
        <f t="shared" si="56"/>
        <v>$0.00</v>
      </c>
      <c r="I77" s="16">
        <v>0</v>
      </c>
      <c r="J77" s="4">
        <v>0</v>
      </c>
      <c r="K77" s="4">
        <v>0</v>
      </c>
      <c r="L77" s="4" t="str">
        <f t="shared" si="57"/>
        <v>$0.00</v>
      </c>
      <c r="M77" s="16">
        <v>0</v>
      </c>
      <c r="N77" s="4">
        <v>0</v>
      </c>
      <c r="O77" s="4">
        <v>0</v>
      </c>
      <c r="P77" s="4" t="str">
        <f t="shared" si="58"/>
        <v>$0.00</v>
      </c>
      <c r="Q77" s="16">
        <v>0</v>
      </c>
      <c r="R77" s="4">
        <v>0</v>
      </c>
      <c r="S77" s="4">
        <v>0</v>
      </c>
      <c r="T77" s="16">
        <v>0</v>
      </c>
      <c r="U77" s="4">
        <v>0</v>
      </c>
      <c r="V77" s="4" t="s">
        <v>71</v>
      </c>
      <c r="W77" s="4">
        <v>2021</v>
      </c>
      <c r="X77" s="4">
        <v>10.26</v>
      </c>
      <c r="Y77" s="16">
        <v>25649.999999999996</v>
      </c>
      <c r="Z77" s="4">
        <v>5</v>
      </c>
      <c r="AA77" s="4">
        <v>13.3</v>
      </c>
      <c r="AB77" s="16">
        <v>66500</v>
      </c>
      <c r="AC77" s="4">
        <v>5</v>
      </c>
      <c r="AD77" s="4">
        <v>135</v>
      </c>
      <c r="AE77" s="16">
        <v>202500</v>
      </c>
      <c r="AF77" s="4">
        <v>16</v>
      </c>
      <c r="AG77" s="4">
        <v>251</v>
      </c>
      <c r="AH77" s="16">
        <v>376500</v>
      </c>
      <c r="AI77" s="4">
        <v>4</v>
      </c>
      <c r="AJ77" s="4">
        <v>1</v>
      </c>
      <c r="AK77" s="16">
        <v>30000</v>
      </c>
      <c r="AL77" s="28">
        <v>1</v>
      </c>
      <c r="AM77" s="4"/>
      <c r="AN77" s="2" t="s">
        <v>70</v>
      </c>
      <c r="AO77" s="4">
        <v>2022</v>
      </c>
      <c r="AP77" s="4">
        <v>0</v>
      </c>
      <c r="AQ77" s="16">
        <v>0</v>
      </c>
      <c r="AR77" s="4">
        <v>0</v>
      </c>
      <c r="AS77" s="4"/>
      <c r="AT77" s="16"/>
      <c r="AU77" s="4">
        <v>0</v>
      </c>
      <c r="AV77" s="4">
        <v>0</v>
      </c>
      <c r="AW77" s="16">
        <v>0</v>
      </c>
      <c r="AX77" s="4">
        <v>0</v>
      </c>
      <c r="AY77" s="4">
        <v>0</v>
      </c>
      <c r="AZ77" s="16">
        <v>0</v>
      </c>
      <c r="BA77" s="4">
        <v>0</v>
      </c>
      <c r="BB77" s="4">
        <v>0</v>
      </c>
      <c r="BC77" s="16">
        <v>0</v>
      </c>
      <c r="BD77" s="4">
        <v>0</v>
      </c>
      <c r="BE77" s="4"/>
      <c r="BF77" s="4">
        <f t="shared" si="37"/>
        <v>57.16</v>
      </c>
      <c r="BG77" s="16">
        <f t="shared" si="38"/>
        <v>150400</v>
      </c>
      <c r="BH77" s="4">
        <f t="shared" si="39"/>
        <v>11</v>
      </c>
      <c r="BI77" s="4">
        <f t="shared" si="40"/>
        <v>48.04</v>
      </c>
      <c r="BJ77" s="16">
        <f t="shared" si="41"/>
        <v>240200</v>
      </c>
      <c r="BK77" s="4">
        <f t="shared" si="42"/>
        <v>15</v>
      </c>
      <c r="BL77" s="4">
        <f t="shared" si="43"/>
        <v>441</v>
      </c>
      <c r="BM77" s="16">
        <f t="shared" si="44"/>
        <v>661500</v>
      </c>
      <c r="BN77" s="4">
        <f t="shared" si="45"/>
        <v>44</v>
      </c>
      <c r="BO77" s="4">
        <f t="shared" si="46"/>
        <v>938</v>
      </c>
      <c r="BP77" s="16">
        <f t="shared" si="47"/>
        <v>1407000</v>
      </c>
      <c r="BQ77" s="4">
        <f t="shared" si="48"/>
        <v>14</v>
      </c>
      <c r="BR77" s="4">
        <f t="shared" si="49"/>
        <v>8</v>
      </c>
      <c r="BS77" s="16">
        <f t="shared" si="50"/>
        <v>280000</v>
      </c>
      <c r="BT77" s="4">
        <f t="shared" si="51"/>
        <v>8</v>
      </c>
      <c r="BU77" s="4">
        <f t="shared" si="52"/>
        <v>1484.2</v>
      </c>
      <c r="BV77" s="16">
        <f t="shared" si="53"/>
        <v>2739100</v>
      </c>
      <c r="BW77" s="4">
        <f t="shared" si="54"/>
        <v>92</v>
      </c>
    </row>
    <row r="78" spans="1:75" x14ac:dyDescent="0.25">
      <c r="A78" s="2" t="s">
        <v>70</v>
      </c>
      <c r="B78" s="4">
        <v>2020</v>
      </c>
      <c r="C78" s="4">
        <v>0</v>
      </c>
      <c r="D78" s="4" t="str">
        <f t="shared" si="55"/>
        <v>$0.00</v>
      </c>
      <c r="E78" s="16">
        <v>0</v>
      </c>
      <c r="F78" s="4">
        <v>0</v>
      </c>
      <c r="G78" s="4">
        <v>0</v>
      </c>
      <c r="H78" s="4" t="str">
        <f t="shared" si="56"/>
        <v>$0.00</v>
      </c>
      <c r="I78" s="16">
        <v>0</v>
      </c>
      <c r="J78" s="4">
        <v>0</v>
      </c>
      <c r="K78" s="4">
        <v>0</v>
      </c>
      <c r="L78" s="4" t="str">
        <f t="shared" si="57"/>
        <v>$0.00</v>
      </c>
      <c r="M78" s="16">
        <v>0</v>
      </c>
      <c r="N78" s="4">
        <v>0</v>
      </c>
      <c r="O78" s="4">
        <v>0</v>
      </c>
      <c r="P78" s="4" t="str">
        <f t="shared" si="58"/>
        <v>$0.00</v>
      </c>
      <c r="Q78" s="16">
        <v>0</v>
      </c>
      <c r="R78" s="4">
        <v>0</v>
      </c>
      <c r="S78" s="4">
        <v>0</v>
      </c>
      <c r="T78" s="16">
        <v>0</v>
      </c>
      <c r="U78" s="4">
        <v>0</v>
      </c>
      <c r="V78" s="4" t="s">
        <v>142</v>
      </c>
      <c r="W78" s="4">
        <v>2021</v>
      </c>
      <c r="X78" s="4">
        <v>19.829999999999998</v>
      </c>
      <c r="Y78" s="16">
        <v>49575</v>
      </c>
      <c r="Z78" s="4">
        <v>4</v>
      </c>
      <c r="AA78" s="4">
        <v>8</v>
      </c>
      <c r="AB78" s="16">
        <v>40000</v>
      </c>
      <c r="AC78" s="4">
        <v>2</v>
      </c>
      <c r="AD78" s="4">
        <v>156</v>
      </c>
      <c r="AE78" s="16">
        <v>234000</v>
      </c>
      <c r="AF78" s="4">
        <v>40</v>
      </c>
      <c r="AG78" s="4">
        <v>2701.8600000000006</v>
      </c>
      <c r="AH78" s="16">
        <v>4052790.0000000009</v>
      </c>
      <c r="AI78" s="4">
        <v>23</v>
      </c>
      <c r="AJ78" s="4">
        <v>2</v>
      </c>
      <c r="AK78" s="16">
        <v>200000</v>
      </c>
      <c r="AL78" s="28">
        <v>2</v>
      </c>
      <c r="AM78" s="4"/>
      <c r="AN78" s="2" t="s">
        <v>71</v>
      </c>
      <c r="AO78" s="4">
        <v>2022</v>
      </c>
      <c r="AP78" s="4">
        <v>39.4</v>
      </c>
      <c r="AQ78" s="16">
        <v>98500</v>
      </c>
      <c r="AR78" s="4">
        <v>5</v>
      </c>
      <c r="AS78" s="4">
        <v>4.5</v>
      </c>
      <c r="AT78" s="16">
        <v>22500</v>
      </c>
      <c r="AU78" s="4">
        <v>2</v>
      </c>
      <c r="AV78" s="4">
        <v>177</v>
      </c>
      <c r="AW78" s="16">
        <v>265500</v>
      </c>
      <c r="AX78" s="4">
        <v>15</v>
      </c>
      <c r="AY78" s="4">
        <v>436</v>
      </c>
      <c r="AZ78" s="16">
        <v>654000</v>
      </c>
      <c r="BA78" s="4">
        <v>6</v>
      </c>
      <c r="BB78" s="4">
        <v>5</v>
      </c>
      <c r="BC78" s="16">
        <v>165000</v>
      </c>
      <c r="BD78" s="4">
        <v>5</v>
      </c>
      <c r="BE78" s="4"/>
      <c r="BF78" s="4">
        <f t="shared" si="37"/>
        <v>121.75</v>
      </c>
      <c r="BG78" s="16">
        <f t="shared" si="38"/>
        <v>297150</v>
      </c>
      <c r="BH78" s="4">
        <f t="shared" si="39"/>
        <v>21</v>
      </c>
      <c r="BI78" s="4">
        <f t="shared" si="40"/>
        <v>12</v>
      </c>
      <c r="BJ78" s="16">
        <f t="shared" si="41"/>
        <v>60000</v>
      </c>
      <c r="BK78" s="4">
        <f t="shared" si="42"/>
        <v>3</v>
      </c>
      <c r="BL78" s="4">
        <f t="shared" si="43"/>
        <v>480</v>
      </c>
      <c r="BM78" s="16">
        <f t="shared" si="44"/>
        <v>720000</v>
      </c>
      <c r="BN78" s="4">
        <f t="shared" si="45"/>
        <v>114</v>
      </c>
      <c r="BO78" s="4">
        <f t="shared" si="46"/>
        <v>8618.61</v>
      </c>
      <c r="BP78" s="16">
        <f t="shared" si="47"/>
        <v>12927915</v>
      </c>
      <c r="BQ78" s="4">
        <f t="shared" si="48"/>
        <v>67</v>
      </c>
      <c r="BR78" s="4">
        <f t="shared" si="49"/>
        <v>14</v>
      </c>
      <c r="BS78" s="16">
        <f t="shared" si="50"/>
        <v>1225000.0000000002</v>
      </c>
      <c r="BT78" s="4">
        <f t="shared" si="51"/>
        <v>14</v>
      </c>
      <c r="BU78" s="4">
        <f t="shared" si="52"/>
        <v>9232.36</v>
      </c>
      <c r="BV78" s="16">
        <f t="shared" si="53"/>
        <v>15230065</v>
      </c>
      <c r="BW78" s="4">
        <f t="shared" si="54"/>
        <v>219</v>
      </c>
    </row>
    <row r="79" spans="1:75" x14ac:dyDescent="0.25">
      <c r="A79" s="2" t="s">
        <v>71</v>
      </c>
      <c r="B79" s="4">
        <v>2020</v>
      </c>
      <c r="C79" s="4">
        <v>7.5</v>
      </c>
      <c r="D79" s="4" t="str">
        <f t="shared" si="55"/>
        <v>$26,250.00</v>
      </c>
      <c r="E79" s="16">
        <v>26250</v>
      </c>
      <c r="F79" s="4">
        <v>1</v>
      </c>
      <c r="G79" s="4">
        <v>30.24</v>
      </c>
      <c r="H79" s="4" t="str">
        <f t="shared" si="56"/>
        <v>$151,200.00</v>
      </c>
      <c r="I79" s="16">
        <v>151200</v>
      </c>
      <c r="J79" s="4">
        <v>8</v>
      </c>
      <c r="K79" s="4">
        <v>129</v>
      </c>
      <c r="L79" s="4" t="str">
        <f t="shared" si="57"/>
        <v>$193,500.00</v>
      </c>
      <c r="M79" s="16">
        <v>193500</v>
      </c>
      <c r="N79" s="4">
        <v>13</v>
      </c>
      <c r="O79" s="4">
        <v>251</v>
      </c>
      <c r="P79" s="4" t="str">
        <f t="shared" si="58"/>
        <v>$376,500.00</v>
      </c>
      <c r="Q79" s="16">
        <v>376500</v>
      </c>
      <c r="R79" s="4">
        <v>4</v>
      </c>
      <c r="S79" s="4">
        <v>2</v>
      </c>
      <c r="T79" s="16">
        <v>85000</v>
      </c>
      <c r="U79" s="4">
        <v>2</v>
      </c>
      <c r="V79" s="4" t="s">
        <v>146</v>
      </c>
      <c r="W79" s="4">
        <v>2021</v>
      </c>
      <c r="X79" s="4">
        <v>3.2</v>
      </c>
      <c r="Y79" s="16">
        <v>8000</v>
      </c>
      <c r="Z79" s="4">
        <v>2</v>
      </c>
      <c r="AA79" s="4">
        <v>22.12</v>
      </c>
      <c r="AB79" s="16">
        <v>150600</v>
      </c>
      <c r="AC79" s="4">
        <v>12</v>
      </c>
      <c r="AD79" s="4">
        <v>0</v>
      </c>
      <c r="AE79" s="16">
        <v>0</v>
      </c>
      <c r="AF79" s="4">
        <v>0</v>
      </c>
      <c r="AG79" s="4">
        <v>96</v>
      </c>
      <c r="AH79" s="16">
        <v>144000</v>
      </c>
      <c r="AI79" s="4">
        <v>1</v>
      </c>
      <c r="AJ79" s="4">
        <v>0</v>
      </c>
      <c r="AK79" s="16">
        <v>0</v>
      </c>
      <c r="AL79" s="28">
        <v>0</v>
      </c>
      <c r="AM79" s="4"/>
      <c r="AN79" s="2" t="s">
        <v>142</v>
      </c>
      <c r="AO79" s="4">
        <v>2022</v>
      </c>
      <c r="AP79" s="4">
        <v>87.47</v>
      </c>
      <c r="AQ79" s="16">
        <v>218675</v>
      </c>
      <c r="AR79" s="4">
        <v>15</v>
      </c>
      <c r="AS79" s="4"/>
      <c r="AT79" s="16"/>
      <c r="AU79" s="4">
        <v>0</v>
      </c>
      <c r="AV79" s="4">
        <v>190</v>
      </c>
      <c r="AW79" s="16">
        <v>285000</v>
      </c>
      <c r="AX79" s="4">
        <v>42</v>
      </c>
      <c r="AY79" s="4">
        <v>4132.8599999999997</v>
      </c>
      <c r="AZ79" s="16">
        <v>6199290</v>
      </c>
      <c r="BA79" s="4">
        <v>26</v>
      </c>
      <c r="BB79" s="4">
        <v>9</v>
      </c>
      <c r="BC79" s="16">
        <v>805000.00000000023</v>
      </c>
      <c r="BD79" s="4">
        <v>9</v>
      </c>
      <c r="BE79" s="4"/>
      <c r="BF79" s="4">
        <f t="shared" si="37"/>
        <v>8.1999999999999993</v>
      </c>
      <c r="BG79" s="16">
        <f t="shared" si="38"/>
        <v>20500</v>
      </c>
      <c r="BH79" s="4">
        <f t="shared" si="39"/>
        <v>3</v>
      </c>
      <c r="BI79" s="4">
        <f t="shared" si="40"/>
        <v>22.12</v>
      </c>
      <c r="BJ79" s="16">
        <f t="shared" si="41"/>
        <v>150600</v>
      </c>
      <c r="BK79" s="4">
        <f t="shared" si="42"/>
        <v>12</v>
      </c>
      <c r="BL79" s="4">
        <f t="shared" si="43"/>
        <v>75</v>
      </c>
      <c r="BM79" s="16">
        <f t="shared" si="44"/>
        <v>112500</v>
      </c>
      <c r="BN79" s="4">
        <f t="shared" si="45"/>
        <v>1</v>
      </c>
      <c r="BO79" s="4">
        <f t="shared" si="46"/>
        <v>288</v>
      </c>
      <c r="BP79" s="16">
        <f t="shared" si="47"/>
        <v>432000</v>
      </c>
      <c r="BQ79" s="4">
        <f t="shared" si="48"/>
        <v>2</v>
      </c>
      <c r="BR79" s="4">
        <f t="shared" si="49"/>
        <v>0</v>
      </c>
      <c r="BS79" s="16">
        <f t="shared" si="50"/>
        <v>0</v>
      </c>
      <c r="BT79" s="4">
        <f t="shared" si="51"/>
        <v>0</v>
      </c>
      <c r="BU79" s="4">
        <f t="shared" si="52"/>
        <v>393.32</v>
      </c>
      <c r="BV79" s="16">
        <f t="shared" si="53"/>
        <v>715600</v>
      </c>
      <c r="BW79" s="4">
        <f t="shared" si="54"/>
        <v>18</v>
      </c>
    </row>
    <row r="80" spans="1:75" x14ac:dyDescent="0.25">
      <c r="A80" s="2" t="s">
        <v>142</v>
      </c>
      <c r="B80" s="4">
        <v>2020</v>
      </c>
      <c r="C80" s="4">
        <v>14.45</v>
      </c>
      <c r="D80" s="4" t="str">
        <f t="shared" si="55"/>
        <v>$28,900.00</v>
      </c>
      <c r="E80" s="16">
        <v>28900</v>
      </c>
      <c r="F80" s="4">
        <v>2</v>
      </c>
      <c r="G80" s="4">
        <v>4</v>
      </c>
      <c r="H80" s="4" t="str">
        <f t="shared" si="56"/>
        <v>$20,000.00</v>
      </c>
      <c r="I80" s="16">
        <v>20000</v>
      </c>
      <c r="J80" s="4">
        <v>1</v>
      </c>
      <c r="K80" s="4">
        <v>134</v>
      </c>
      <c r="L80" s="4" t="str">
        <f t="shared" si="57"/>
        <v>$201,000.00</v>
      </c>
      <c r="M80" s="16">
        <v>201000</v>
      </c>
      <c r="N80" s="4">
        <v>32</v>
      </c>
      <c r="O80" s="4">
        <v>1783.8899999999999</v>
      </c>
      <c r="P80" s="4" t="str">
        <f t="shared" si="58"/>
        <v>$2,675,835.00</v>
      </c>
      <c r="Q80" s="16">
        <v>2675835</v>
      </c>
      <c r="R80" s="4">
        <v>18</v>
      </c>
      <c r="S80" s="4">
        <v>3</v>
      </c>
      <c r="T80" s="16">
        <v>220000</v>
      </c>
      <c r="U80" s="4">
        <v>3</v>
      </c>
      <c r="V80" s="4" t="s">
        <v>72</v>
      </c>
      <c r="W80" s="4">
        <v>2021</v>
      </c>
      <c r="X80" s="4">
        <v>0</v>
      </c>
      <c r="Y80" s="16">
        <v>0</v>
      </c>
      <c r="Z80" s="4">
        <v>0</v>
      </c>
      <c r="AA80" s="4">
        <v>0</v>
      </c>
      <c r="AB80" s="16">
        <v>0</v>
      </c>
      <c r="AC80" s="4">
        <v>0</v>
      </c>
      <c r="AD80" s="4">
        <v>0</v>
      </c>
      <c r="AE80" s="16">
        <v>0</v>
      </c>
      <c r="AF80" s="4">
        <v>0</v>
      </c>
      <c r="AG80" s="4">
        <v>0</v>
      </c>
      <c r="AH80" s="16">
        <v>0</v>
      </c>
      <c r="AI80" s="4">
        <v>0</v>
      </c>
      <c r="AJ80" s="4">
        <v>0</v>
      </c>
      <c r="AK80" s="16">
        <v>0</v>
      </c>
      <c r="AL80" s="28">
        <v>0</v>
      </c>
      <c r="AM80" s="4"/>
      <c r="AN80" s="2" t="s">
        <v>146</v>
      </c>
      <c r="AO80" s="4">
        <v>2022</v>
      </c>
      <c r="AP80" s="4">
        <v>5</v>
      </c>
      <c r="AQ80" s="16">
        <v>12500</v>
      </c>
      <c r="AR80" s="4">
        <v>1</v>
      </c>
      <c r="AS80" s="4"/>
      <c r="AT80" s="16"/>
      <c r="AU80" s="4">
        <v>0</v>
      </c>
      <c r="AV80" s="4">
        <v>75</v>
      </c>
      <c r="AW80" s="16">
        <v>112500</v>
      </c>
      <c r="AX80" s="4">
        <v>1</v>
      </c>
      <c r="AY80" s="4">
        <v>96</v>
      </c>
      <c r="AZ80" s="16">
        <v>144000</v>
      </c>
      <c r="BA80" s="4">
        <v>0</v>
      </c>
      <c r="BB80" s="4">
        <v>0</v>
      </c>
      <c r="BC80" s="16">
        <v>0</v>
      </c>
      <c r="BD80" s="4">
        <v>0</v>
      </c>
      <c r="BE80" s="4"/>
      <c r="BF80" s="4">
        <f t="shared" si="37"/>
        <v>0</v>
      </c>
      <c r="BG80" s="16">
        <f t="shared" si="38"/>
        <v>0</v>
      </c>
      <c r="BH80" s="4">
        <f t="shared" si="39"/>
        <v>0</v>
      </c>
      <c r="BI80" s="4">
        <f t="shared" si="40"/>
        <v>0</v>
      </c>
      <c r="BJ80" s="16">
        <f t="shared" si="41"/>
        <v>0</v>
      </c>
      <c r="BK80" s="4">
        <f t="shared" si="42"/>
        <v>0</v>
      </c>
      <c r="BL80" s="4">
        <f t="shared" si="43"/>
        <v>0</v>
      </c>
      <c r="BM80" s="16">
        <f t="shared" si="44"/>
        <v>0</v>
      </c>
      <c r="BN80" s="4">
        <f t="shared" si="45"/>
        <v>0</v>
      </c>
      <c r="BO80" s="4">
        <f t="shared" si="46"/>
        <v>0</v>
      </c>
      <c r="BP80" s="16">
        <f t="shared" si="47"/>
        <v>0</v>
      </c>
      <c r="BQ80" s="4">
        <f t="shared" si="48"/>
        <v>0</v>
      </c>
      <c r="BR80" s="4">
        <f t="shared" si="49"/>
        <v>0</v>
      </c>
      <c r="BS80" s="16">
        <f t="shared" si="50"/>
        <v>0</v>
      </c>
      <c r="BT80" s="4">
        <f t="shared" si="51"/>
        <v>0</v>
      </c>
      <c r="BU80" s="4">
        <f t="shared" si="52"/>
        <v>0</v>
      </c>
      <c r="BV80" s="16">
        <f t="shared" si="53"/>
        <v>0</v>
      </c>
      <c r="BW80" s="4">
        <f t="shared" si="54"/>
        <v>0</v>
      </c>
    </row>
    <row r="81" spans="1:75" x14ac:dyDescent="0.25">
      <c r="A81" s="2" t="s">
        <v>146</v>
      </c>
      <c r="B81" s="4">
        <v>2020</v>
      </c>
      <c r="C81" s="4">
        <v>0</v>
      </c>
      <c r="D81" s="4" t="str">
        <f t="shared" si="55"/>
        <v>$0.00</v>
      </c>
      <c r="E81" s="16">
        <v>0</v>
      </c>
      <c r="F81" s="4">
        <v>0</v>
      </c>
      <c r="G81" s="4">
        <v>0</v>
      </c>
      <c r="H81" s="4" t="str">
        <f t="shared" si="56"/>
        <v>$0.00</v>
      </c>
      <c r="I81" s="16">
        <v>0</v>
      </c>
      <c r="J81" s="4">
        <v>0</v>
      </c>
      <c r="K81" s="4">
        <v>0</v>
      </c>
      <c r="L81" s="4" t="str">
        <f t="shared" si="57"/>
        <v>$0.00</v>
      </c>
      <c r="M81" s="16">
        <v>0</v>
      </c>
      <c r="N81" s="4">
        <v>0</v>
      </c>
      <c r="O81" s="4">
        <v>96</v>
      </c>
      <c r="P81" s="4" t="str">
        <f t="shared" si="58"/>
        <v>$144,000.00</v>
      </c>
      <c r="Q81" s="16">
        <v>144000</v>
      </c>
      <c r="R81" s="4">
        <v>1</v>
      </c>
      <c r="S81" s="4">
        <v>0</v>
      </c>
      <c r="T81" s="16">
        <v>0</v>
      </c>
      <c r="U81" s="4">
        <v>0</v>
      </c>
      <c r="V81" s="4" t="s">
        <v>143</v>
      </c>
      <c r="W81" s="4">
        <v>2021</v>
      </c>
      <c r="X81" s="4">
        <v>0</v>
      </c>
      <c r="Y81" s="16">
        <v>0</v>
      </c>
      <c r="Z81" s="4">
        <v>0</v>
      </c>
      <c r="AA81" s="4">
        <v>0</v>
      </c>
      <c r="AB81" s="16">
        <v>0</v>
      </c>
      <c r="AC81" s="4">
        <v>0</v>
      </c>
      <c r="AD81" s="4">
        <v>0</v>
      </c>
      <c r="AE81" s="16">
        <v>0</v>
      </c>
      <c r="AF81" s="4">
        <v>0</v>
      </c>
      <c r="AG81" s="4">
        <v>597.71</v>
      </c>
      <c r="AH81" s="16">
        <v>896565</v>
      </c>
      <c r="AI81" s="4">
        <v>3</v>
      </c>
      <c r="AJ81" s="4">
        <v>0</v>
      </c>
      <c r="AK81" s="16">
        <v>0</v>
      </c>
      <c r="AL81" s="28">
        <v>0</v>
      </c>
      <c r="AM81" s="4"/>
      <c r="AN81" s="2" t="s">
        <v>72</v>
      </c>
      <c r="AO81" s="4">
        <v>2022</v>
      </c>
      <c r="AP81" s="4">
        <v>0</v>
      </c>
      <c r="AQ81" s="16">
        <v>0</v>
      </c>
      <c r="AR81" s="4">
        <v>0</v>
      </c>
      <c r="AS81" s="4"/>
      <c r="AT81" s="16"/>
      <c r="AU81" s="4">
        <v>0</v>
      </c>
      <c r="AV81" s="4">
        <v>0</v>
      </c>
      <c r="AW81" s="16">
        <v>0</v>
      </c>
      <c r="AX81" s="4">
        <v>0</v>
      </c>
      <c r="AY81" s="4">
        <v>0</v>
      </c>
      <c r="AZ81" s="16">
        <v>0</v>
      </c>
      <c r="BA81" s="4">
        <v>0</v>
      </c>
      <c r="BB81" s="4">
        <v>0</v>
      </c>
      <c r="BC81" s="16">
        <v>0</v>
      </c>
      <c r="BD81" s="4">
        <v>0</v>
      </c>
      <c r="BE81" s="4"/>
      <c r="BF81" s="4">
        <f t="shared" si="37"/>
        <v>94.7</v>
      </c>
      <c r="BG81" s="16">
        <f t="shared" si="38"/>
        <v>228900</v>
      </c>
      <c r="BH81" s="4">
        <f t="shared" si="39"/>
        <v>4</v>
      </c>
      <c r="BI81" s="4">
        <f t="shared" si="40"/>
        <v>0</v>
      </c>
      <c r="BJ81" s="16">
        <f t="shared" si="41"/>
        <v>0</v>
      </c>
      <c r="BK81" s="4">
        <f t="shared" si="42"/>
        <v>0</v>
      </c>
      <c r="BL81" s="4">
        <f t="shared" si="43"/>
        <v>0</v>
      </c>
      <c r="BM81" s="16">
        <f t="shared" si="44"/>
        <v>0</v>
      </c>
      <c r="BN81" s="4">
        <f t="shared" si="45"/>
        <v>0</v>
      </c>
      <c r="BO81" s="4">
        <f t="shared" si="46"/>
        <v>1491.13</v>
      </c>
      <c r="BP81" s="16">
        <f t="shared" si="47"/>
        <v>2236695</v>
      </c>
      <c r="BQ81" s="4">
        <f t="shared" si="48"/>
        <v>8</v>
      </c>
      <c r="BR81" s="4">
        <f t="shared" si="49"/>
        <v>0</v>
      </c>
      <c r="BS81" s="16">
        <f t="shared" si="50"/>
        <v>0</v>
      </c>
      <c r="BT81" s="4">
        <f t="shared" si="51"/>
        <v>0</v>
      </c>
      <c r="BU81" s="4">
        <f t="shared" si="52"/>
        <v>1585.8300000000002</v>
      </c>
      <c r="BV81" s="16">
        <f t="shared" si="53"/>
        <v>2465595</v>
      </c>
      <c r="BW81" s="4">
        <f t="shared" si="54"/>
        <v>12</v>
      </c>
    </row>
    <row r="82" spans="1:75" x14ac:dyDescent="0.25">
      <c r="A82" s="2" t="s">
        <v>72</v>
      </c>
      <c r="B82" s="4">
        <v>2020</v>
      </c>
      <c r="C82" s="4">
        <v>0</v>
      </c>
      <c r="D82" s="4" t="str">
        <f t="shared" si="55"/>
        <v>$0.00</v>
      </c>
      <c r="E82" s="16">
        <v>0</v>
      </c>
      <c r="F82" s="4">
        <v>0</v>
      </c>
      <c r="G82" s="4">
        <v>0</v>
      </c>
      <c r="H82" s="4" t="str">
        <f t="shared" si="56"/>
        <v>$0.00</v>
      </c>
      <c r="I82" s="16">
        <v>0</v>
      </c>
      <c r="J82" s="4">
        <v>0</v>
      </c>
      <c r="K82" s="4">
        <v>0</v>
      </c>
      <c r="L82" s="4" t="str">
        <f t="shared" si="57"/>
        <v>$0.00</v>
      </c>
      <c r="M82" s="16">
        <v>0</v>
      </c>
      <c r="N82" s="4">
        <v>0</v>
      </c>
      <c r="O82" s="4">
        <v>0</v>
      </c>
      <c r="P82" s="4" t="str">
        <f t="shared" si="58"/>
        <v>$0.00</v>
      </c>
      <c r="Q82" s="16">
        <v>0</v>
      </c>
      <c r="R82" s="4">
        <v>0</v>
      </c>
      <c r="S82" s="4">
        <v>0</v>
      </c>
      <c r="T82" s="16">
        <v>0</v>
      </c>
      <c r="U82" s="4">
        <v>0</v>
      </c>
      <c r="V82" s="4" t="s">
        <v>132</v>
      </c>
      <c r="W82" s="4">
        <v>2021</v>
      </c>
      <c r="X82" s="4">
        <v>40</v>
      </c>
      <c r="Y82" s="16">
        <v>100000</v>
      </c>
      <c r="Z82" s="4">
        <v>1</v>
      </c>
      <c r="AA82" s="4">
        <v>4.0999999999999996</v>
      </c>
      <c r="AB82" s="16">
        <v>20500</v>
      </c>
      <c r="AC82" s="4">
        <v>1</v>
      </c>
      <c r="AD82" s="4">
        <v>0</v>
      </c>
      <c r="AE82" s="16">
        <v>0</v>
      </c>
      <c r="AF82" s="4">
        <v>0</v>
      </c>
      <c r="AG82" s="4">
        <v>288.98</v>
      </c>
      <c r="AH82" s="16">
        <v>433470</v>
      </c>
      <c r="AI82" s="4">
        <v>4</v>
      </c>
      <c r="AJ82" s="4">
        <v>0</v>
      </c>
      <c r="AK82" s="16">
        <v>0</v>
      </c>
      <c r="AL82" s="28">
        <v>0</v>
      </c>
      <c r="AM82" s="4"/>
      <c r="AN82" s="2" t="s">
        <v>143</v>
      </c>
      <c r="AO82" s="4">
        <v>2022</v>
      </c>
      <c r="AP82" s="4">
        <v>79</v>
      </c>
      <c r="AQ82" s="16">
        <v>197500</v>
      </c>
      <c r="AR82" s="4">
        <v>2</v>
      </c>
      <c r="AS82" s="4"/>
      <c r="AT82" s="16"/>
      <c r="AU82" s="4">
        <v>0</v>
      </c>
      <c r="AV82" s="4">
        <v>0</v>
      </c>
      <c r="AW82" s="16">
        <v>0</v>
      </c>
      <c r="AX82" s="4">
        <v>0</v>
      </c>
      <c r="AY82" s="4">
        <v>566.71</v>
      </c>
      <c r="AZ82" s="16">
        <v>850065</v>
      </c>
      <c r="BA82" s="4">
        <v>3</v>
      </c>
      <c r="BB82" s="4">
        <v>0</v>
      </c>
      <c r="BC82" s="16">
        <v>0</v>
      </c>
      <c r="BD82" s="4">
        <v>0</v>
      </c>
      <c r="BE82" s="4"/>
      <c r="BF82" s="4">
        <f t="shared" si="37"/>
        <v>106</v>
      </c>
      <c r="BG82" s="16">
        <f t="shared" si="38"/>
        <v>232000</v>
      </c>
      <c r="BH82" s="4">
        <f t="shared" si="39"/>
        <v>2</v>
      </c>
      <c r="BI82" s="4">
        <f t="shared" si="40"/>
        <v>10.1</v>
      </c>
      <c r="BJ82" s="16">
        <f t="shared" si="41"/>
        <v>50500</v>
      </c>
      <c r="BK82" s="4">
        <f t="shared" si="42"/>
        <v>2</v>
      </c>
      <c r="BL82" s="4">
        <f t="shared" si="43"/>
        <v>0</v>
      </c>
      <c r="BM82" s="16">
        <f t="shared" si="44"/>
        <v>0</v>
      </c>
      <c r="BN82" s="4">
        <f t="shared" si="45"/>
        <v>0</v>
      </c>
      <c r="BO82" s="4">
        <f t="shared" si="46"/>
        <v>912.96</v>
      </c>
      <c r="BP82" s="16">
        <f t="shared" si="47"/>
        <v>1369440</v>
      </c>
      <c r="BQ82" s="4">
        <f t="shared" si="48"/>
        <v>10</v>
      </c>
      <c r="BR82" s="4">
        <f t="shared" si="49"/>
        <v>0</v>
      </c>
      <c r="BS82" s="16">
        <f t="shared" si="50"/>
        <v>0</v>
      </c>
      <c r="BT82" s="4">
        <f t="shared" si="51"/>
        <v>0</v>
      </c>
      <c r="BU82" s="4">
        <f t="shared" si="52"/>
        <v>1029.06</v>
      </c>
      <c r="BV82" s="16">
        <f t="shared" si="53"/>
        <v>1651940</v>
      </c>
      <c r="BW82" s="4">
        <f t="shared" si="54"/>
        <v>14</v>
      </c>
    </row>
    <row r="83" spans="1:75" x14ac:dyDescent="0.25">
      <c r="A83" s="2" t="s">
        <v>143</v>
      </c>
      <c r="B83" s="4">
        <v>2020</v>
      </c>
      <c r="C83" s="4">
        <v>15.7</v>
      </c>
      <c r="D83" s="4" t="str">
        <f t="shared" si="55"/>
        <v>$31,400.00</v>
      </c>
      <c r="E83" s="16">
        <v>31400</v>
      </c>
      <c r="F83" s="4">
        <v>2</v>
      </c>
      <c r="G83" s="4">
        <v>0</v>
      </c>
      <c r="H83" s="4" t="str">
        <f t="shared" si="56"/>
        <v>$0.00</v>
      </c>
      <c r="I83" s="16">
        <v>0</v>
      </c>
      <c r="J83" s="4">
        <v>0</v>
      </c>
      <c r="K83" s="4">
        <v>0</v>
      </c>
      <c r="L83" s="4" t="str">
        <f t="shared" si="57"/>
        <v>$0.00</v>
      </c>
      <c r="M83" s="16">
        <v>0</v>
      </c>
      <c r="N83" s="4">
        <v>0</v>
      </c>
      <c r="O83" s="4">
        <v>326.70999999999998</v>
      </c>
      <c r="P83" s="4" t="str">
        <f t="shared" si="58"/>
        <v>$490,065.00</v>
      </c>
      <c r="Q83" s="16">
        <v>490064.99999999994</v>
      </c>
      <c r="R83" s="4">
        <v>2</v>
      </c>
      <c r="S83" s="4">
        <v>0</v>
      </c>
      <c r="T83" s="16">
        <v>0</v>
      </c>
      <c r="U83" s="4">
        <v>0</v>
      </c>
      <c r="V83" s="4" t="s">
        <v>133</v>
      </c>
      <c r="W83" s="4">
        <v>2021</v>
      </c>
      <c r="X83" s="4">
        <v>0</v>
      </c>
      <c r="Y83" s="16">
        <v>0</v>
      </c>
      <c r="Z83" s="4">
        <v>0</v>
      </c>
      <c r="AA83" s="4">
        <v>0</v>
      </c>
      <c r="AB83" s="16">
        <v>0</v>
      </c>
      <c r="AC83" s="4">
        <v>0</v>
      </c>
      <c r="AD83" s="4">
        <v>23</v>
      </c>
      <c r="AE83" s="16">
        <v>34500</v>
      </c>
      <c r="AF83" s="4">
        <v>1</v>
      </c>
      <c r="AG83" s="4">
        <v>0</v>
      </c>
      <c r="AH83" s="16">
        <v>0</v>
      </c>
      <c r="AI83" s="4">
        <v>0</v>
      </c>
      <c r="AJ83" s="4">
        <v>0</v>
      </c>
      <c r="AK83" s="16">
        <v>0</v>
      </c>
      <c r="AL83" s="28">
        <v>0</v>
      </c>
      <c r="AM83" s="4"/>
      <c r="AN83" s="2" t="s">
        <v>132</v>
      </c>
      <c r="AO83" s="4">
        <v>2022</v>
      </c>
      <c r="AP83" s="4">
        <v>0</v>
      </c>
      <c r="AQ83" s="16">
        <v>0</v>
      </c>
      <c r="AR83" s="4">
        <v>0</v>
      </c>
      <c r="AS83" s="4"/>
      <c r="AT83" s="16"/>
      <c r="AU83" s="4">
        <v>0</v>
      </c>
      <c r="AV83" s="4">
        <v>0</v>
      </c>
      <c r="AW83" s="16">
        <v>0</v>
      </c>
      <c r="AX83" s="4">
        <v>0</v>
      </c>
      <c r="AY83" s="4">
        <v>260.98</v>
      </c>
      <c r="AZ83" s="16">
        <v>391470</v>
      </c>
      <c r="BA83" s="4">
        <v>3</v>
      </c>
      <c r="BB83" s="4">
        <v>0</v>
      </c>
      <c r="BC83" s="16">
        <v>0</v>
      </c>
      <c r="BD83" s="4">
        <v>0</v>
      </c>
      <c r="BE83" s="4"/>
      <c r="BF83" s="4">
        <f t="shared" si="37"/>
        <v>0</v>
      </c>
      <c r="BG83" s="16">
        <f t="shared" si="38"/>
        <v>0</v>
      </c>
      <c r="BH83" s="4">
        <f t="shared" si="39"/>
        <v>0</v>
      </c>
      <c r="BI83" s="4">
        <f t="shared" si="40"/>
        <v>0</v>
      </c>
      <c r="BJ83" s="16">
        <f t="shared" si="41"/>
        <v>0</v>
      </c>
      <c r="BK83" s="4">
        <f t="shared" si="42"/>
        <v>0</v>
      </c>
      <c r="BL83" s="4">
        <f t="shared" si="43"/>
        <v>69</v>
      </c>
      <c r="BM83" s="16">
        <f t="shared" si="44"/>
        <v>103500</v>
      </c>
      <c r="BN83" s="4">
        <f t="shared" si="45"/>
        <v>3</v>
      </c>
      <c r="BO83" s="4">
        <f t="shared" si="46"/>
        <v>0</v>
      </c>
      <c r="BP83" s="16">
        <f t="shared" si="47"/>
        <v>0</v>
      </c>
      <c r="BQ83" s="4">
        <f t="shared" si="48"/>
        <v>0</v>
      </c>
      <c r="BR83" s="4">
        <f t="shared" si="49"/>
        <v>1</v>
      </c>
      <c r="BS83" s="16">
        <f t="shared" si="50"/>
        <v>30000</v>
      </c>
      <c r="BT83" s="4">
        <f t="shared" si="51"/>
        <v>1</v>
      </c>
      <c r="BU83" s="4">
        <f t="shared" si="52"/>
        <v>69</v>
      </c>
      <c r="BV83" s="16">
        <f t="shared" si="53"/>
        <v>133500</v>
      </c>
      <c r="BW83" s="4">
        <f t="shared" si="54"/>
        <v>4</v>
      </c>
    </row>
    <row r="84" spans="1:75" x14ac:dyDescent="0.25">
      <c r="A84" s="2" t="s">
        <v>132</v>
      </c>
      <c r="B84" s="4">
        <v>2020</v>
      </c>
      <c r="C84" s="4">
        <v>66</v>
      </c>
      <c r="D84" s="4" t="str">
        <f t="shared" si="55"/>
        <v>$132,000.00</v>
      </c>
      <c r="E84" s="16">
        <v>132000</v>
      </c>
      <c r="F84" s="4">
        <v>1</v>
      </c>
      <c r="G84" s="4">
        <v>6</v>
      </c>
      <c r="H84" s="4" t="str">
        <f t="shared" si="56"/>
        <v>$30,000.00</v>
      </c>
      <c r="I84" s="16">
        <v>30000</v>
      </c>
      <c r="J84" s="4">
        <v>1</v>
      </c>
      <c r="K84" s="4">
        <v>0</v>
      </c>
      <c r="L84" s="4" t="str">
        <f t="shared" si="57"/>
        <v>$0.00</v>
      </c>
      <c r="M84" s="16">
        <v>0</v>
      </c>
      <c r="N84" s="4">
        <v>0</v>
      </c>
      <c r="O84" s="4">
        <v>363</v>
      </c>
      <c r="P84" s="4" t="str">
        <f t="shared" si="58"/>
        <v>$544,500.00</v>
      </c>
      <c r="Q84" s="16">
        <v>544500</v>
      </c>
      <c r="R84" s="4">
        <v>3</v>
      </c>
      <c r="S84" s="4">
        <v>0</v>
      </c>
      <c r="T84" s="16">
        <v>0</v>
      </c>
      <c r="U84" s="4">
        <v>0</v>
      </c>
      <c r="V84" s="4" t="s">
        <v>73</v>
      </c>
      <c r="W84" s="4">
        <v>2021</v>
      </c>
      <c r="X84" s="4">
        <v>142</v>
      </c>
      <c r="Y84" s="16">
        <v>355000</v>
      </c>
      <c r="Z84" s="4">
        <v>3</v>
      </c>
      <c r="AA84" s="4">
        <v>9.6300000000000008</v>
      </c>
      <c r="AB84" s="16">
        <v>48150.000000000007</v>
      </c>
      <c r="AC84" s="4">
        <v>2</v>
      </c>
      <c r="AD84" s="4">
        <v>0</v>
      </c>
      <c r="AE84" s="16">
        <v>0</v>
      </c>
      <c r="AF84" s="4">
        <v>0</v>
      </c>
      <c r="AG84" s="4">
        <v>1028.8699999999999</v>
      </c>
      <c r="AH84" s="16">
        <v>1543304.9999999998</v>
      </c>
      <c r="AI84" s="4">
        <v>13</v>
      </c>
      <c r="AJ84" s="4">
        <v>1</v>
      </c>
      <c r="AK84" s="16">
        <v>85714.28</v>
      </c>
      <c r="AL84" s="28">
        <v>1</v>
      </c>
      <c r="AM84" s="4"/>
      <c r="AN84" s="2" t="s">
        <v>133</v>
      </c>
      <c r="AO84" s="4">
        <v>2022</v>
      </c>
      <c r="AP84" s="4">
        <v>0</v>
      </c>
      <c r="AQ84" s="16">
        <v>0</v>
      </c>
      <c r="AR84" s="4">
        <v>0</v>
      </c>
      <c r="AS84" s="4"/>
      <c r="AT84" s="16"/>
      <c r="AU84" s="4">
        <v>0</v>
      </c>
      <c r="AV84" s="4">
        <v>23</v>
      </c>
      <c r="AW84" s="16">
        <v>34500</v>
      </c>
      <c r="AX84" s="4">
        <v>1</v>
      </c>
      <c r="AY84" s="4">
        <v>0</v>
      </c>
      <c r="AZ84" s="16">
        <v>0</v>
      </c>
      <c r="BA84" s="4">
        <v>0</v>
      </c>
      <c r="BB84" s="4">
        <v>1</v>
      </c>
      <c r="BC84" s="16">
        <v>30000</v>
      </c>
      <c r="BD84" s="4">
        <v>1</v>
      </c>
      <c r="BE84" s="4"/>
      <c r="BF84" s="4">
        <f t="shared" si="37"/>
        <v>406.2</v>
      </c>
      <c r="BG84" s="16">
        <f t="shared" si="38"/>
        <v>943500</v>
      </c>
      <c r="BH84" s="4">
        <f t="shared" si="39"/>
        <v>15</v>
      </c>
      <c r="BI84" s="4">
        <f t="shared" si="40"/>
        <v>12.63</v>
      </c>
      <c r="BJ84" s="16">
        <f t="shared" si="41"/>
        <v>63150.000000000007</v>
      </c>
      <c r="BK84" s="4">
        <f t="shared" si="42"/>
        <v>3</v>
      </c>
      <c r="BL84" s="4">
        <f t="shared" si="43"/>
        <v>12</v>
      </c>
      <c r="BM84" s="16">
        <f t="shared" si="44"/>
        <v>18000</v>
      </c>
      <c r="BN84" s="4">
        <f t="shared" si="45"/>
        <v>1</v>
      </c>
      <c r="BO84" s="4">
        <f t="shared" si="46"/>
        <v>4326.6099999999997</v>
      </c>
      <c r="BP84" s="16">
        <f t="shared" si="47"/>
        <v>6489915</v>
      </c>
      <c r="BQ84" s="4">
        <f t="shared" si="48"/>
        <v>48</v>
      </c>
      <c r="BR84" s="4">
        <f t="shared" si="49"/>
        <v>4</v>
      </c>
      <c r="BS84" s="16">
        <f t="shared" si="50"/>
        <v>290714.28000000003</v>
      </c>
      <c r="BT84" s="4">
        <f t="shared" si="51"/>
        <v>4</v>
      </c>
      <c r="BU84" s="4">
        <f t="shared" si="52"/>
        <v>4757.4399999999996</v>
      </c>
      <c r="BV84" s="16">
        <f t="shared" si="53"/>
        <v>7805279.2800000003</v>
      </c>
      <c r="BW84" s="4">
        <f t="shared" si="54"/>
        <v>71</v>
      </c>
    </row>
    <row r="85" spans="1:75" x14ac:dyDescent="0.25">
      <c r="A85" s="2" t="s">
        <v>133</v>
      </c>
      <c r="B85" s="4">
        <v>2020</v>
      </c>
      <c r="C85" s="4">
        <v>0</v>
      </c>
      <c r="D85" s="4" t="str">
        <f t="shared" si="55"/>
        <v>$0.00</v>
      </c>
      <c r="E85" s="16">
        <v>0</v>
      </c>
      <c r="F85" s="4">
        <v>0</v>
      </c>
      <c r="G85" s="4">
        <v>0</v>
      </c>
      <c r="H85" s="4" t="str">
        <f t="shared" si="56"/>
        <v>$0.00</v>
      </c>
      <c r="I85" s="16">
        <v>0</v>
      </c>
      <c r="J85" s="4">
        <v>0</v>
      </c>
      <c r="K85" s="4">
        <v>23</v>
      </c>
      <c r="L85" s="4" t="str">
        <f t="shared" si="57"/>
        <v>$34,500.00</v>
      </c>
      <c r="M85" s="16">
        <v>34500</v>
      </c>
      <c r="N85" s="4">
        <v>1</v>
      </c>
      <c r="O85" s="4">
        <v>0</v>
      </c>
      <c r="P85" s="4" t="str">
        <f t="shared" si="58"/>
        <v>$0.00</v>
      </c>
      <c r="Q85" s="16">
        <v>0</v>
      </c>
      <c r="R85" s="4">
        <v>0</v>
      </c>
      <c r="S85" s="4">
        <v>0</v>
      </c>
      <c r="T85" s="16">
        <v>0</v>
      </c>
      <c r="U85" s="4">
        <v>0</v>
      </c>
      <c r="V85" s="4" t="s">
        <v>134</v>
      </c>
      <c r="W85" s="4">
        <v>2021</v>
      </c>
      <c r="X85" s="4">
        <v>0</v>
      </c>
      <c r="Y85" s="16">
        <v>0</v>
      </c>
      <c r="Z85" s="4">
        <v>0</v>
      </c>
      <c r="AA85" s="4">
        <v>5</v>
      </c>
      <c r="AB85" s="16">
        <v>25000</v>
      </c>
      <c r="AC85" s="4">
        <v>5</v>
      </c>
      <c r="AD85" s="4">
        <v>0</v>
      </c>
      <c r="AE85" s="16">
        <v>0</v>
      </c>
      <c r="AF85" s="4">
        <v>0</v>
      </c>
      <c r="AG85" s="4">
        <v>0</v>
      </c>
      <c r="AH85" s="16">
        <v>0</v>
      </c>
      <c r="AI85" s="4">
        <v>0</v>
      </c>
      <c r="AJ85" s="4">
        <v>0</v>
      </c>
      <c r="AK85" s="16">
        <v>0</v>
      </c>
      <c r="AL85" s="28">
        <v>0</v>
      </c>
      <c r="AM85" s="4"/>
      <c r="AN85" s="2" t="s">
        <v>73</v>
      </c>
      <c r="AO85" s="4">
        <v>2022</v>
      </c>
      <c r="AP85" s="4">
        <v>120.2</v>
      </c>
      <c r="AQ85" s="16">
        <v>300500</v>
      </c>
      <c r="AR85" s="4">
        <v>8</v>
      </c>
      <c r="AS85" s="4"/>
      <c r="AT85" s="16"/>
      <c r="AU85" s="4">
        <v>0</v>
      </c>
      <c r="AV85" s="4">
        <v>12</v>
      </c>
      <c r="AW85" s="16">
        <v>18000</v>
      </c>
      <c r="AX85" s="4">
        <v>1</v>
      </c>
      <c r="AY85" s="4">
        <v>1960.87</v>
      </c>
      <c r="AZ85" s="16">
        <v>2941305</v>
      </c>
      <c r="BA85" s="4">
        <v>19</v>
      </c>
      <c r="BB85" s="4">
        <v>2</v>
      </c>
      <c r="BC85" s="16">
        <v>185000</v>
      </c>
      <c r="BD85" s="4">
        <v>2</v>
      </c>
      <c r="BE85" s="4"/>
      <c r="BF85" s="4">
        <f t="shared" si="37"/>
        <v>20</v>
      </c>
      <c r="BG85" s="16">
        <f t="shared" si="38"/>
        <v>50000</v>
      </c>
      <c r="BH85" s="4">
        <f t="shared" si="39"/>
        <v>1</v>
      </c>
      <c r="BI85" s="4">
        <f t="shared" si="40"/>
        <v>66</v>
      </c>
      <c r="BJ85" s="16">
        <f t="shared" si="41"/>
        <v>330000</v>
      </c>
      <c r="BK85" s="4">
        <f t="shared" si="42"/>
        <v>6</v>
      </c>
      <c r="BL85" s="4">
        <f t="shared" si="43"/>
        <v>0</v>
      </c>
      <c r="BM85" s="16">
        <f t="shared" si="44"/>
        <v>0</v>
      </c>
      <c r="BN85" s="4">
        <f t="shared" si="45"/>
        <v>0</v>
      </c>
      <c r="BO85" s="4">
        <f t="shared" si="46"/>
        <v>0</v>
      </c>
      <c r="BP85" s="16">
        <f t="shared" si="47"/>
        <v>0</v>
      </c>
      <c r="BQ85" s="4">
        <f t="shared" si="48"/>
        <v>0</v>
      </c>
      <c r="BR85" s="4">
        <f t="shared" si="49"/>
        <v>0</v>
      </c>
      <c r="BS85" s="16">
        <f t="shared" si="50"/>
        <v>0</v>
      </c>
      <c r="BT85" s="4">
        <f t="shared" si="51"/>
        <v>0</v>
      </c>
      <c r="BU85" s="4">
        <f t="shared" si="52"/>
        <v>86</v>
      </c>
      <c r="BV85" s="16">
        <f t="shared" si="53"/>
        <v>380000</v>
      </c>
      <c r="BW85" s="4">
        <f t="shared" si="54"/>
        <v>7</v>
      </c>
    </row>
    <row r="86" spans="1:75" x14ac:dyDescent="0.25">
      <c r="A86" s="2" t="s">
        <v>73</v>
      </c>
      <c r="B86" s="4">
        <v>2020</v>
      </c>
      <c r="C86" s="4">
        <v>144</v>
      </c>
      <c r="D86" s="4" t="str">
        <f t="shared" si="55"/>
        <v>$288,000.00</v>
      </c>
      <c r="E86" s="16">
        <v>288000</v>
      </c>
      <c r="F86" s="4">
        <v>4</v>
      </c>
      <c r="G86" s="4">
        <v>3</v>
      </c>
      <c r="H86" s="4" t="str">
        <f t="shared" si="56"/>
        <v>$15,000.00</v>
      </c>
      <c r="I86" s="16">
        <v>15000</v>
      </c>
      <c r="J86" s="4">
        <v>1</v>
      </c>
      <c r="K86" s="4">
        <v>0</v>
      </c>
      <c r="L86" s="4" t="str">
        <f t="shared" si="57"/>
        <v>$0.00</v>
      </c>
      <c r="M86" s="16">
        <v>0</v>
      </c>
      <c r="N86" s="4">
        <v>0</v>
      </c>
      <c r="O86" s="4">
        <v>1336.87</v>
      </c>
      <c r="P86" s="4" t="str">
        <f t="shared" si="58"/>
        <v>$2,005,305.00</v>
      </c>
      <c r="Q86" s="16">
        <v>2005304.9999999998</v>
      </c>
      <c r="R86" s="4">
        <v>16</v>
      </c>
      <c r="S86" s="4">
        <v>1</v>
      </c>
      <c r="T86" s="16">
        <v>20000</v>
      </c>
      <c r="U86" s="4">
        <v>1</v>
      </c>
      <c r="V86" s="4" t="s">
        <v>74</v>
      </c>
      <c r="W86" s="4">
        <v>2021</v>
      </c>
      <c r="X86" s="4">
        <v>123.1</v>
      </c>
      <c r="Y86" s="16">
        <v>307750</v>
      </c>
      <c r="Z86" s="4">
        <v>4</v>
      </c>
      <c r="AA86" s="4">
        <v>8</v>
      </c>
      <c r="AB86" s="16">
        <v>40000</v>
      </c>
      <c r="AC86" s="4">
        <v>3</v>
      </c>
      <c r="AD86" s="4">
        <v>59</v>
      </c>
      <c r="AE86" s="16">
        <v>88500</v>
      </c>
      <c r="AF86" s="4">
        <v>6</v>
      </c>
      <c r="AG86" s="4">
        <v>2094.5100000000002</v>
      </c>
      <c r="AH86" s="16">
        <v>3141765.0000000005</v>
      </c>
      <c r="AI86" s="4">
        <v>39</v>
      </c>
      <c r="AJ86" s="4">
        <v>0</v>
      </c>
      <c r="AK86" s="16">
        <v>0</v>
      </c>
      <c r="AL86" s="28">
        <v>0</v>
      </c>
      <c r="AM86" s="4"/>
      <c r="AN86" s="2" t="s">
        <v>134</v>
      </c>
      <c r="AO86" s="4">
        <v>2022</v>
      </c>
      <c r="AP86" s="4">
        <v>20</v>
      </c>
      <c r="AQ86" s="16">
        <v>50000</v>
      </c>
      <c r="AR86" s="4">
        <v>1</v>
      </c>
      <c r="AS86" s="4">
        <v>61</v>
      </c>
      <c r="AT86" s="16">
        <v>305000</v>
      </c>
      <c r="AU86" s="4">
        <v>1</v>
      </c>
      <c r="AV86" s="4">
        <v>0</v>
      </c>
      <c r="AW86" s="16">
        <v>0</v>
      </c>
      <c r="AX86" s="4">
        <v>0</v>
      </c>
      <c r="AY86" s="4">
        <v>0</v>
      </c>
      <c r="AZ86" s="16">
        <v>0</v>
      </c>
      <c r="BA86" s="4">
        <v>0</v>
      </c>
      <c r="BB86" s="4">
        <v>0</v>
      </c>
      <c r="BC86" s="16">
        <v>0</v>
      </c>
      <c r="BD86" s="4">
        <v>0</v>
      </c>
      <c r="BE86" s="4"/>
      <c r="BF86" s="4">
        <f t="shared" si="37"/>
        <v>352.85</v>
      </c>
      <c r="BG86" s="16">
        <f t="shared" si="38"/>
        <v>852025</v>
      </c>
      <c r="BH86" s="4">
        <f t="shared" si="39"/>
        <v>16</v>
      </c>
      <c r="BI86" s="4">
        <f t="shared" si="40"/>
        <v>83.88</v>
      </c>
      <c r="BJ86" s="16">
        <f t="shared" si="41"/>
        <v>419400</v>
      </c>
      <c r="BK86" s="4">
        <f t="shared" si="42"/>
        <v>18</v>
      </c>
      <c r="BL86" s="4">
        <f t="shared" si="43"/>
        <v>185</v>
      </c>
      <c r="BM86" s="16">
        <f t="shared" si="44"/>
        <v>277500</v>
      </c>
      <c r="BN86" s="4">
        <f t="shared" si="45"/>
        <v>19</v>
      </c>
      <c r="BO86" s="4">
        <f t="shared" si="46"/>
        <v>5313.51</v>
      </c>
      <c r="BP86" s="16">
        <f t="shared" si="47"/>
        <v>7970265</v>
      </c>
      <c r="BQ86" s="4">
        <f t="shared" si="48"/>
        <v>91</v>
      </c>
      <c r="BR86" s="4">
        <f t="shared" si="49"/>
        <v>0</v>
      </c>
      <c r="BS86" s="16">
        <f t="shared" si="50"/>
        <v>0</v>
      </c>
      <c r="BT86" s="4">
        <f t="shared" si="51"/>
        <v>0</v>
      </c>
      <c r="BU86" s="4">
        <f t="shared" si="52"/>
        <v>5935.24</v>
      </c>
      <c r="BV86" s="16">
        <f t="shared" si="53"/>
        <v>9519190</v>
      </c>
      <c r="BW86" s="4">
        <f t="shared" si="54"/>
        <v>144</v>
      </c>
    </row>
    <row r="87" spans="1:75" x14ac:dyDescent="0.25">
      <c r="A87" s="2" t="s">
        <v>134</v>
      </c>
      <c r="B87" s="4">
        <v>2020</v>
      </c>
      <c r="C87" s="4">
        <v>0</v>
      </c>
      <c r="D87" s="4" t="str">
        <f t="shared" si="55"/>
        <v>$0.00</v>
      </c>
      <c r="E87" s="16">
        <v>0</v>
      </c>
      <c r="F87" s="4">
        <v>0</v>
      </c>
      <c r="G87" s="4">
        <v>0</v>
      </c>
      <c r="H87" s="4" t="str">
        <f t="shared" si="56"/>
        <v>$0.00</v>
      </c>
      <c r="I87" s="16">
        <v>0</v>
      </c>
      <c r="J87" s="4">
        <v>0</v>
      </c>
      <c r="K87" s="4">
        <v>0</v>
      </c>
      <c r="L87" s="4" t="str">
        <f t="shared" si="57"/>
        <v>$0.00</v>
      </c>
      <c r="M87" s="16">
        <v>0</v>
      </c>
      <c r="N87" s="4">
        <v>0</v>
      </c>
      <c r="O87" s="4">
        <v>0</v>
      </c>
      <c r="P87" s="4" t="str">
        <f t="shared" si="58"/>
        <v>$0.00</v>
      </c>
      <c r="Q87" s="16">
        <v>0</v>
      </c>
      <c r="R87" s="4">
        <v>0</v>
      </c>
      <c r="S87" s="4">
        <v>0</v>
      </c>
      <c r="T87" s="16">
        <v>0</v>
      </c>
      <c r="U87" s="4">
        <v>0</v>
      </c>
      <c r="V87" s="4" t="s">
        <v>75</v>
      </c>
      <c r="W87" s="4">
        <v>2021</v>
      </c>
      <c r="X87" s="4">
        <v>0</v>
      </c>
      <c r="Y87" s="16">
        <v>0</v>
      </c>
      <c r="Z87" s="4">
        <v>0</v>
      </c>
      <c r="AA87" s="4">
        <v>31</v>
      </c>
      <c r="AB87" s="16">
        <v>150000</v>
      </c>
      <c r="AC87" s="4">
        <v>1</v>
      </c>
      <c r="AD87" s="4">
        <v>0</v>
      </c>
      <c r="AE87" s="16">
        <v>0</v>
      </c>
      <c r="AF87" s="4">
        <v>0</v>
      </c>
      <c r="AG87" s="4">
        <v>123</v>
      </c>
      <c r="AH87" s="16">
        <v>184500</v>
      </c>
      <c r="AI87" s="4">
        <v>1</v>
      </c>
      <c r="AJ87" s="4">
        <v>0</v>
      </c>
      <c r="AK87" s="16">
        <v>0</v>
      </c>
      <c r="AL87" s="28">
        <v>0</v>
      </c>
      <c r="AM87" s="4"/>
      <c r="AN87" s="2" t="s">
        <v>74</v>
      </c>
      <c r="AO87" s="4">
        <v>2022</v>
      </c>
      <c r="AP87" s="4">
        <v>153.79999999999998</v>
      </c>
      <c r="AQ87" s="16">
        <v>384500</v>
      </c>
      <c r="AR87" s="4">
        <v>6</v>
      </c>
      <c r="AS87" s="4"/>
      <c r="AT87" s="16"/>
      <c r="AU87" s="4">
        <v>0</v>
      </c>
      <c r="AV87" s="4">
        <v>58</v>
      </c>
      <c r="AW87" s="16">
        <v>87000</v>
      </c>
      <c r="AX87" s="4">
        <v>6</v>
      </c>
      <c r="AY87" s="4">
        <v>2122</v>
      </c>
      <c r="AZ87" s="16">
        <v>3183000</v>
      </c>
      <c r="BA87" s="4">
        <v>28</v>
      </c>
      <c r="BB87" s="4">
        <v>0</v>
      </c>
      <c r="BC87" s="16">
        <v>0</v>
      </c>
      <c r="BD87" s="4">
        <v>0</v>
      </c>
      <c r="BE87" s="4"/>
      <c r="BF87" s="4">
        <f t="shared" si="37"/>
        <v>0</v>
      </c>
      <c r="BG87" s="16">
        <f t="shared" si="38"/>
        <v>0</v>
      </c>
      <c r="BH87" s="4">
        <f t="shared" si="39"/>
        <v>0</v>
      </c>
      <c r="BI87" s="4">
        <f t="shared" si="40"/>
        <v>31</v>
      </c>
      <c r="BJ87" s="16">
        <f t="shared" si="41"/>
        <v>150000</v>
      </c>
      <c r="BK87" s="4">
        <f t="shared" si="42"/>
        <v>1</v>
      </c>
      <c r="BL87" s="4">
        <f t="shared" si="43"/>
        <v>55</v>
      </c>
      <c r="BM87" s="16">
        <f t="shared" si="44"/>
        <v>82500</v>
      </c>
      <c r="BN87" s="4">
        <f t="shared" si="45"/>
        <v>1</v>
      </c>
      <c r="BO87" s="4">
        <f t="shared" si="46"/>
        <v>211</v>
      </c>
      <c r="BP87" s="16">
        <f t="shared" si="47"/>
        <v>316500</v>
      </c>
      <c r="BQ87" s="4">
        <f t="shared" si="48"/>
        <v>2</v>
      </c>
      <c r="BR87" s="4">
        <f t="shared" si="49"/>
        <v>0</v>
      </c>
      <c r="BS87" s="16">
        <f t="shared" si="50"/>
        <v>0</v>
      </c>
      <c r="BT87" s="4">
        <f t="shared" si="51"/>
        <v>0</v>
      </c>
      <c r="BU87" s="4">
        <f t="shared" si="52"/>
        <v>297</v>
      </c>
      <c r="BV87" s="16">
        <f t="shared" si="53"/>
        <v>549000</v>
      </c>
      <c r="BW87" s="4">
        <f t="shared" si="54"/>
        <v>4</v>
      </c>
    </row>
    <row r="88" spans="1:75" x14ac:dyDescent="0.25">
      <c r="A88" s="2" t="s">
        <v>74</v>
      </c>
      <c r="B88" s="4">
        <v>2020</v>
      </c>
      <c r="C88" s="4">
        <v>75.95</v>
      </c>
      <c r="D88" s="4" t="str">
        <f t="shared" si="55"/>
        <v>$159,775.00</v>
      </c>
      <c r="E88" s="16">
        <v>159775</v>
      </c>
      <c r="F88" s="4">
        <v>6</v>
      </c>
      <c r="G88" s="4">
        <v>75.88</v>
      </c>
      <c r="H88" s="4" t="str">
        <f t="shared" si="56"/>
        <v>$379,400.00</v>
      </c>
      <c r="I88" s="16">
        <v>379400</v>
      </c>
      <c r="J88" s="4">
        <v>15</v>
      </c>
      <c r="K88" s="4">
        <v>68</v>
      </c>
      <c r="L88" s="4" t="str">
        <f t="shared" si="57"/>
        <v>$102,000.00</v>
      </c>
      <c r="M88" s="16">
        <v>102000</v>
      </c>
      <c r="N88" s="4">
        <v>7</v>
      </c>
      <c r="O88" s="4">
        <v>1097</v>
      </c>
      <c r="P88" s="4" t="str">
        <f t="shared" si="58"/>
        <v>$1,645,500.00</v>
      </c>
      <c r="Q88" s="16">
        <v>1645500</v>
      </c>
      <c r="R88" s="4">
        <v>24</v>
      </c>
      <c r="S88" s="4">
        <v>0</v>
      </c>
      <c r="T88" s="16">
        <v>0</v>
      </c>
      <c r="U88" s="4">
        <v>0</v>
      </c>
      <c r="V88" s="4" t="s">
        <v>76</v>
      </c>
      <c r="W88" s="4">
        <v>2021</v>
      </c>
      <c r="X88" s="4">
        <v>8</v>
      </c>
      <c r="Y88" s="16">
        <v>20000</v>
      </c>
      <c r="Z88" s="4">
        <v>1</v>
      </c>
      <c r="AA88" s="4">
        <v>23.15</v>
      </c>
      <c r="AB88" s="16">
        <v>135750</v>
      </c>
      <c r="AC88" s="4">
        <v>4</v>
      </c>
      <c r="AD88" s="4">
        <v>0</v>
      </c>
      <c r="AE88" s="16">
        <v>0</v>
      </c>
      <c r="AF88" s="4">
        <v>0</v>
      </c>
      <c r="AG88" s="4">
        <v>0</v>
      </c>
      <c r="AH88" s="16">
        <v>0</v>
      </c>
      <c r="AI88" s="4">
        <v>0</v>
      </c>
      <c r="AJ88" s="4">
        <v>0</v>
      </c>
      <c r="AK88" s="16">
        <v>0</v>
      </c>
      <c r="AL88" s="28">
        <v>0</v>
      </c>
      <c r="AM88" s="4"/>
      <c r="AN88" s="2" t="s">
        <v>75</v>
      </c>
      <c r="AO88" s="4">
        <v>2022</v>
      </c>
      <c r="AP88" s="4">
        <v>0</v>
      </c>
      <c r="AQ88" s="16">
        <v>0</v>
      </c>
      <c r="AR88" s="4">
        <v>0</v>
      </c>
      <c r="AS88" s="4"/>
      <c r="AT88" s="16"/>
      <c r="AU88" s="4">
        <v>0</v>
      </c>
      <c r="AV88" s="4">
        <v>55</v>
      </c>
      <c r="AW88" s="16">
        <v>82500</v>
      </c>
      <c r="AX88" s="4">
        <v>1</v>
      </c>
      <c r="AY88" s="4">
        <v>88</v>
      </c>
      <c r="AZ88" s="16">
        <v>132000</v>
      </c>
      <c r="BA88" s="4">
        <v>1</v>
      </c>
      <c r="BB88" s="4">
        <v>0</v>
      </c>
      <c r="BC88" s="16">
        <v>0</v>
      </c>
      <c r="BD88" s="4">
        <v>0</v>
      </c>
      <c r="BE88" s="4"/>
      <c r="BF88" s="4">
        <f t="shared" si="37"/>
        <v>70.099999999999994</v>
      </c>
      <c r="BG88" s="16">
        <f t="shared" si="38"/>
        <v>235250</v>
      </c>
      <c r="BH88" s="4">
        <f t="shared" si="39"/>
        <v>3</v>
      </c>
      <c r="BI88" s="4">
        <f t="shared" si="40"/>
        <v>105.25</v>
      </c>
      <c r="BJ88" s="16">
        <f t="shared" si="41"/>
        <v>546250</v>
      </c>
      <c r="BK88" s="4">
        <f t="shared" si="42"/>
        <v>10</v>
      </c>
      <c r="BL88" s="4">
        <f t="shared" si="43"/>
        <v>0</v>
      </c>
      <c r="BM88" s="16">
        <f t="shared" si="44"/>
        <v>0</v>
      </c>
      <c r="BN88" s="4">
        <f t="shared" si="45"/>
        <v>0</v>
      </c>
      <c r="BO88" s="4">
        <f t="shared" si="46"/>
        <v>0</v>
      </c>
      <c r="BP88" s="16">
        <f t="shared" si="47"/>
        <v>0</v>
      </c>
      <c r="BQ88" s="4">
        <f t="shared" si="48"/>
        <v>0</v>
      </c>
      <c r="BR88" s="4">
        <f t="shared" si="49"/>
        <v>0</v>
      </c>
      <c r="BS88" s="16">
        <f t="shared" si="50"/>
        <v>0</v>
      </c>
      <c r="BT88" s="4">
        <f t="shared" si="51"/>
        <v>0</v>
      </c>
      <c r="BU88" s="4">
        <f t="shared" si="52"/>
        <v>175.35</v>
      </c>
      <c r="BV88" s="16">
        <f t="shared" si="53"/>
        <v>781500</v>
      </c>
      <c r="BW88" s="4">
        <f t="shared" si="54"/>
        <v>13</v>
      </c>
    </row>
    <row r="89" spans="1:75" x14ac:dyDescent="0.25">
      <c r="A89" s="2" t="s">
        <v>75</v>
      </c>
      <c r="B89" s="4">
        <v>2020</v>
      </c>
      <c r="C89" s="4">
        <v>0</v>
      </c>
      <c r="D89" s="4" t="str">
        <f t="shared" si="55"/>
        <v>$0.00</v>
      </c>
      <c r="E89" s="16">
        <v>0</v>
      </c>
      <c r="F89" s="4">
        <v>0</v>
      </c>
      <c r="G89" s="4">
        <v>0</v>
      </c>
      <c r="H89" s="4" t="str">
        <f t="shared" si="56"/>
        <v>$0.00</v>
      </c>
      <c r="I89" s="16">
        <v>0</v>
      </c>
      <c r="J89" s="4">
        <v>0</v>
      </c>
      <c r="K89" s="4">
        <v>0</v>
      </c>
      <c r="L89" s="4" t="str">
        <f t="shared" si="57"/>
        <v>$0.00</v>
      </c>
      <c r="M89" s="16">
        <v>0</v>
      </c>
      <c r="N89" s="4">
        <v>0</v>
      </c>
      <c r="O89" s="4">
        <v>0</v>
      </c>
      <c r="P89" s="4" t="str">
        <f t="shared" si="58"/>
        <v>$0.00</v>
      </c>
      <c r="Q89" s="16">
        <v>0</v>
      </c>
      <c r="R89" s="4">
        <v>0</v>
      </c>
      <c r="S89" s="4">
        <v>0</v>
      </c>
      <c r="T89" s="16">
        <v>0</v>
      </c>
      <c r="U89" s="4">
        <v>0</v>
      </c>
      <c r="V89" s="4" t="s">
        <v>77</v>
      </c>
      <c r="W89" s="4">
        <v>2021</v>
      </c>
      <c r="X89" s="4">
        <v>84.3</v>
      </c>
      <c r="Y89" s="16">
        <v>210750</v>
      </c>
      <c r="Z89" s="4">
        <v>5</v>
      </c>
      <c r="AA89" s="4">
        <v>5</v>
      </c>
      <c r="AB89" s="16">
        <v>25000</v>
      </c>
      <c r="AC89" s="4">
        <v>4</v>
      </c>
      <c r="AD89" s="4">
        <v>144</v>
      </c>
      <c r="AE89" s="16">
        <v>216000</v>
      </c>
      <c r="AF89" s="4">
        <v>6</v>
      </c>
      <c r="AG89" s="4">
        <v>1747.36</v>
      </c>
      <c r="AH89" s="16">
        <v>2621040</v>
      </c>
      <c r="AI89" s="4">
        <v>16</v>
      </c>
      <c r="AJ89" s="4">
        <v>1</v>
      </c>
      <c r="AK89" s="16">
        <v>175000</v>
      </c>
      <c r="AL89" s="28">
        <v>1</v>
      </c>
      <c r="AM89" s="4"/>
      <c r="AN89" s="2" t="s">
        <v>76</v>
      </c>
      <c r="AO89" s="4">
        <v>2022</v>
      </c>
      <c r="AP89" s="4">
        <v>0</v>
      </c>
      <c r="AQ89" s="16">
        <v>0</v>
      </c>
      <c r="AR89" s="4">
        <v>0</v>
      </c>
      <c r="AS89" s="4"/>
      <c r="AT89" s="16"/>
      <c r="AU89" s="4">
        <v>0</v>
      </c>
      <c r="AV89" s="4">
        <v>0</v>
      </c>
      <c r="AW89" s="16">
        <v>0</v>
      </c>
      <c r="AX89" s="4">
        <v>0</v>
      </c>
      <c r="AY89" s="4">
        <v>0</v>
      </c>
      <c r="AZ89" s="16">
        <v>0</v>
      </c>
      <c r="BA89" s="4">
        <v>0</v>
      </c>
      <c r="BB89" s="4">
        <v>0</v>
      </c>
      <c r="BC89" s="16">
        <v>0</v>
      </c>
      <c r="BD89" s="4">
        <v>0</v>
      </c>
      <c r="BE89" s="4"/>
      <c r="BF89" s="4">
        <f t="shared" si="37"/>
        <v>337.09000000000003</v>
      </c>
      <c r="BG89" s="16">
        <f t="shared" si="38"/>
        <v>795485</v>
      </c>
      <c r="BH89" s="4">
        <f t="shared" si="39"/>
        <v>22</v>
      </c>
      <c r="BI89" s="4">
        <f t="shared" si="40"/>
        <v>9</v>
      </c>
      <c r="BJ89" s="16">
        <f t="shared" si="41"/>
        <v>45000</v>
      </c>
      <c r="BK89" s="4">
        <f t="shared" si="42"/>
        <v>6</v>
      </c>
      <c r="BL89" s="4">
        <f t="shared" si="43"/>
        <v>404</v>
      </c>
      <c r="BM89" s="16">
        <f t="shared" si="44"/>
        <v>606000</v>
      </c>
      <c r="BN89" s="4">
        <f t="shared" si="45"/>
        <v>23</v>
      </c>
      <c r="BO89" s="4">
        <f t="shared" si="46"/>
        <v>5500.36</v>
      </c>
      <c r="BP89" s="16">
        <f t="shared" si="47"/>
        <v>8250540</v>
      </c>
      <c r="BQ89" s="4">
        <f t="shared" si="48"/>
        <v>45</v>
      </c>
      <c r="BR89" s="4">
        <f t="shared" si="49"/>
        <v>1</v>
      </c>
      <c r="BS89" s="16">
        <f t="shared" si="50"/>
        <v>175000</v>
      </c>
      <c r="BT89" s="4">
        <f t="shared" si="51"/>
        <v>1</v>
      </c>
      <c r="BU89" s="4">
        <f t="shared" si="52"/>
        <v>6250.45</v>
      </c>
      <c r="BV89" s="16">
        <f t="shared" si="53"/>
        <v>9872025</v>
      </c>
      <c r="BW89" s="4">
        <f t="shared" si="54"/>
        <v>97</v>
      </c>
    </row>
    <row r="90" spans="1:75" x14ac:dyDescent="0.25">
      <c r="A90" s="2" t="s">
        <v>76</v>
      </c>
      <c r="B90" s="4">
        <v>2020</v>
      </c>
      <c r="C90" s="4">
        <v>62.1</v>
      </c>
      <c r="D90" s="4" t="str">
        <f t="shared" si="55"/>
        <v>$215,250.00</v>
      </c>
      <c r="E90" s="16">
        <v>215250</v>
      </c>
      <c r="F90" s="4">
        <v>2</v>
      </c>
      <c r="G90" s="4">
        <v>82.1</v>
      </c>
      <c r="H90" s="4" t="str">
        <f t="shared" si="56"/>
        <v>$410,500.00</v>
      </c>
      <c r="I90" s="16">
        <v>410500</v>
      </c>
      <c r="J90" s="4">
        <v>6</v>
      </c>
      <c r="K90" s="4">
        <v>0</v>
      </c>
      <c r="L90" s="4" t="str">
        <f t="shared" si="57"/>
        <v>$0.00</v>
      </c>
      <c r="M90" s="16">
        <v>0</v>
      </c>
      <c r="N90" s="4">
        <v>0</v>
      </c>
      <c r="O90" s="4">
        <v>0</v>
      </c>
      <c r="P90" s="4" t="str">
        <f t="shared" si="58"/>
        <v>$0.00</v>
      </c>
      <c r="Q90" s="16">
        <v>0</v>
      </c>
      <c r="R90" s="4">
        <v>0</v>
      </c>
      <c r="S90" s="4">
        <v>0</v>
      </c>
      <c r="T90" s="16">
        <v>0</v>
      </c>
      <c r="U90" s="4">
        <v>0</v>
      </c>
      <c r="V90" s="4" t="s">
        <v>78</v>
      </c>
      <c r="W90" s="4">
        <v>2021</v>
      </c>
      <c r="X90" s="4">
        <v>270.10000000000002</v>
      </c>
      <c r="Y90" s="16">
        <v>675250</v>
      </c>
      <c r="Z90" s="4">
        <v>12</v>
      </c>
      <c r="AA90" s="4">
        <v>14.18</v>
      </c>
      <c r="AB90" s="16">
        <v>70900</v>
      </c>
      <c r="AC90" s="4">
        <v>6</v>
      </c>
      <c r="AD90" s="4">
        <v>94</v>
      </c>
      <c r="AE90" s="16">
        <v>141000</v>
      </c>
      <c r="AF90" s="4">
        <v>15</v>
      </c>
      <c r="AG90" s="4">
        <v>6233.5700000000006</v>
      </c>
      <c r="AH90" s="16">
        <v>9350355</v>
      </c>
      <c r="AI90" s="4">
        <v>23</v>
      </c>
      <c r="AJ90" s="4">
        <v>6</v>
      </c>
      <c r="AK90" s="16">
        <v>478571.43000000005</v>
      </c>
      <c r="AL90" s="28">
        <v>6</v>
      </c>
      <c r="AM90" s="4"/>
      <c r="AN90" s="2" t="s">
        <v>77</v>
      </c>
      <c r="AO90" s="4">
        <v>2022</v>
      </c>
      <c r="AP90" s="4">
        <v>64.489999999999995</v>
      </c>
      <c r="AQ90" s="16">
        <v>161225</v>
      </c>
      <c r="AR90" s="4">
        <v>7</v>
      </c>
      <c r="AS90" s="4"/>
      <c r="AT90" s="16"/>
      <c r="AU90" s="4">
        <v>0</v>
      </c>
      <c r="AV90" s="4">
        <v>85</v>
      </c>
      <c r="AW90" s="16">
        <v>127500</v>
      </c>
      <c r="AX90" s="4">
        <v>8</v>
      </c>
      <c r="AY90" s="4">
        <v>2025.36</v>
      </c>
      <c r="AZ90" s="16">
        <v>3038040</v>
      </c>
      <c r="BA90" s="4">
        <v>16</v>
      </c>
      <c r="BB90" s="4">
        <v>0</v>
      </c>
      <c r="BC90" s="16">
        <v>0</v>
      </c>
      <c r="BD90" s="4">
        <v>0</v>
      </c>
      <c r="BE90" s="4"/>
      <c r="BF90" s="4">
        <f t="shared" si="37"/>
        <v>633.91000000000008</v>
      </c>
      <c r="BG90" s="16">
        <f t="shared" si="38"/>
        <v>1553870</v>
      </c>
      <c r="BH90" s="4">
        <f t="shared" si="39"/>
        <v>31</v>
      </c>
      <c r="BI90" s="4">
        <f t="shared" si="40"/>
        <v>28.68</v>
      </c>
      <c r="BJ90" s="16">
        <f t="shared" si="41"/>
        <v>143400</v>
      </c>
      <c r="BK90" s="4">
        <f t="shared" si="42"/>
        <v>9</v>
      </c>
      <c r="BL90" s="4">
        <f t="shared" si="43"/>
        <v>329</v>
      </c>
      <c r="BM90" s="16">
        <f t="shared" si="44"/>
        <v>493500</v>
      </c>
      <c r="BN90" s="4">
        <f t="shared" si="45"/>
        <v>47</v>
      </c>
      <c r="BO90" s="4">
        <f t="shared" si="46"/>
        <v>17162.740000000002</v>
      </c>
      <c r="BP90" s="16">
        <f t="shared" si="47"/>
        <v>25744110</v>
      </c>
      <c r="BQ90" s="4">
        <f t="shared" si="48"/>
        <v>71</v>
      </c>
      <c r="BR90" s="4">
        <f t="shared" si="49"/>
        <v>13</v>
      </c>
      <c r="BS90" s="16">
        <f t="shared" si="50"/>
        <v>1058571.4300000002</v>
      </c>
      <c r="BT90" s="4">
        <f t="shared" si="51"/>
        <v>13</v>
      </c>
      <c r="BU90" s="4">
        <f t="shared" si="52"/>
        <v>18154.330000000002</v>
      </c>
      <c r="BV90" s="16">
        <f t="shared" si="53"/>
        <v>28993451.43</v>
      </c>
      <c r="BW90" s="4">
        <f t="shared" si="54"/>
        <v>171</v>
      </c>
    </row>
    <row r="91" spans="1:75" x14ac:dyDescent="0.25">
      <c r="A91" s="2" t="s">
        <v>77</v>
      </c>
      <c r="B91" s="4">
        <v>2020</v>
      </c>
      <c r="C91" s="4">
        <v>188.3</v>
      </c>
      <c r="D91" s="4" t="str">
        <f t="shared" si="55"/>
        <v>$423,510.00</v>
      </c>
      <c r="E91" s="16">
        <v>423510</v>
      </c>
      <c r="F91" s="4">
        <v>10</v>
      </c>
      <c r="G91" s="4">
        <v>4</v>
      </c>
      <c r="H91" s="4" t="str">
        <f t="shared" si="56"/>
        <v>$20,000.00</v>
      </c>
      <c r="I91" s="16">
        <v>20000</v>
      </c>
      <c r="J91" s="4">
        <v>2</v>
      </c>
      <c r="K91" s="4">
        <v>175</v>
      </c>
      <c r="L91" s="4" t="str">
        <f t="shared" si="57"/>
        <v>$262,500.00</v>
      </c>
      <c r="M91" s="16">
        <v>262500</v>
      </c>
      <c r="N91" s="4">
        <v>9</v>
      </c>
      <c r="O91" s="4">
        <v>1727.6399999999999</v>
      </c>
      <c r="P91" s="4" t="str">
        <f t="shared" si="58"/>
        <v>$2,591,460.00</v>
      </c>
      <c r="Q91" s="16">
        <v>2591460</v>
      </c>
      <c r="R91" s="4">
        <v>13</v>
      </c>
      <c r="S91" s="4">
        <v>0</v>
      </c>
      <c r="T91" s="16">
        <v>0</v>
      </c>
      <c r="U91" s="4">
        <v>0</v>
      </c>
      <c r="V91" s="4" t="s">
        <v>79</v>
      </c>
      <c r="W91" s="4">
        <v>2021</v>
      </c>
      <c r="X91" s="4">
        <v>16.600000000000001</v>
      </c>
      <c r="Y91" s="16">
        <v>41500</v>
      </c>
      <c r="Z91" s="4">
        <v>2</v>
      </c>
      <c r="AA91" s="4">
        <v>2.2999999999999998</v>
      </c>
      <c r="AB91" s="16">
        <v>11500</v>
      </c>
      <c r="AC91" s="4">
        <v>1</v>
      </c>
      <c r="AD91" s="4">
        <v>64</v>
      </c>
      <c r="AE91" s="16">
        <v>96000</v>
      </c>
      <c r="AF91" s="4">
        <v>2</v>
      </c>
      <c r="AG91" s="4">
        <v>590</v>
      </c>
      <c r="AH91" s="16">
        <v>885000</v>
      </c>
      <c r="AI91" s="4">
        <v>2</v>
      </c>
      <c r="AJ91" s="4">
        <v>0</v>
      </c>
      <c r="AK91" s="16">
        <v>0</v>
      </c>
      <c r="AL91" s="28">
        <v>0</v>
      </c>
      <c r="AM91" s="4"/>
      <c r="AN91" s="2" t="s">
        <v>78</v>
      </c>
      <c r="AO91" s="4">
        <v>2022</v>
      </c>
      <c r="AP91" s="4">
        <v>150.5</v>
      </c>
      <c r="AQ91" s="16">
        <v>376250</v>
      </c>
      <c r="AR91" s="4">
        <v>8</v>
      </c>
      <c r="AS91" s="4"/>
      <c r="AT91" s="16"/>
      <c r="AU91" s="4">
        <v>0</v>
      </c>
      <c r="AV91" s="4">
        <v>144</v>
      </c>
      <c r="AW91" s="16">
        <v>216000</v>
      </c>
      <c r="AX91" s="4">
        <v>15</v>
      </c>
      <c r="AY91" s="4">
        <v>6196.57</v>
      </c>
      <c r="AZ91" s="16">
        <v>9294855</v>
      </c>
      <c r="BA91" s="4">
        <v>30</v>
      </c>
      <c r="BB91" s="4">
        <v>1</v>
      </c>
      <c r="BC91" s="16">
        <v>175000</v>
      </c>
      <c r="BD91" s="4">
        <v>1</v>
      </c>
      <c r="BE91" s="4"/>
      <c r="BF91" s="4">
        <f t="shared" si="37"/>
        <v>58.820000000000007</v>
      </c>
      <c r="BG91" s="16">
        <f t="shared" si="38"/>
        <v>146540</v>
      </c>
      <c r="BH91" s="4">
        <f t="shared" si="39"/>
        <v>6</v>
      </c>
      <c r="BI91" s="4">
        <f t="shared" si="40"/>
        <v>8.6999999999999993</v>
      </c>
      <c r="BJ91" s="16">
        <f t="shared" si="41"/>
        <v>43500</v>
      </c>
      <c r="BK91" s="4">
        <f t="shared" si="42"/>
        <v>5</v>
      </c>
      <c r="BL91" s="4">
        <f t="shared" si="43"/>
        <v>208</v>
      </c>
      <c r="BM91" s="16">
        <f t="shared" si="44"/>
        <v>312000</v>
      </c>
      <c r="BN91" s="4">
        <f t="shared" si="45"/>
        <v>6</v>
      </c>
      <c r="BO91" s="4">
        <f t="shared" si="46"/>
        <v>1497</v>
      </c>
      <c r="BP91" s="16">
        <f t="shared" si="47"/>
        <v>2245500</v>
      </c>
      <c r="BQ91" s="4">
        <f t="shared" si="48"/>
        <v>6</v>
      </c>
      <c r="BR91" s="4">
        <f t="shared" si="49"/>
        <v>0</v>
      </c>
      <c r="BS91" s="16">
        <f t="shared" si="50"/>
        <v>0</v>
      </c>
      <c r="BT91" s="4">
        <f t="shared" si="51"/>
        <v>0</v>
      </c>
      <c r="BU91" s="4">
        <f t="shared" si="52"/>
        <v>1772.52</v>
      </c>
      <c r="BV91" s="16">
        <f t="shared" si="53"/>
        <v>2747540</v>
      </c>
      <c r="BW91" s="4">
        <f t="shared" si="54"/>
        <v>23</v>
      </c>
    </row>
    <row r="92" spans="1:75" x14ac:dyDescent="0.25">
      <c r="A92" s="2" t="s">
        <v>78</v>
      </c>
      <c r="B92" s="4">
        <v>2020</v>
      </c>
      <c r="C92" s="4">
        <v>213.31</v>
      </c>
      <c r="D92" s="4" t="str">
        <f t="shared" si="55"/>
        <v>$502,370.00</v>
      </c>
      <c r="E92" s="16">
        <v>502370</v>
      </c>
      <c r="F92" s="4">
        <v>11</v>
      </c>
      <c r="G92" s="4">
        <v>14.5</v>
      </c>
      <c r="H92" s="4" t="str">
        <f t="shared" si="56"/>
        <v>$72,500.00</v>
      </c>
      <c r="I92" s="16">
        <v>72500</v>
      </c>
      <c r="J92" s="4">
        <v>3</v>
      </c>
      <c r="K92" s="4">
        <v>91</v>
      </c>
      <c r="L92" s="4" t="str">
        <f t="shared" si="57"/>
        <v>$136,500.00</v>
      </c>
      <c r="M92" s="16">
        <v>136500</v>
      </c>
      <c r="N92" s="4">
        <v>17</v>
      </c>
      <c r="O92" s="4">
        <v>4732.6000000000004</v>
      </c>
      <c r="P92" s="4" t="str">
        <f t="shared" si="58"/>
        <v>$7,098,900.00</v>
      </c>
      <c r="Q92" s="16">
        <v>7098900.0000000009</v>
      </c>
      <c r="R92" s="4">
        <v>18</v>
      </c>
      <c r="S92" s="4">
        <v>6</v>
      </c>
      <c r="T92" s="16">
        <v>405000</v>
      </c>
      <c r="U92" s="4">
        <v>6</v>
      </c>
      <c r="V92" s="4" t="s">
        <v>80</v>
      </c>
      <c r="W92" s="4">
        <v>2021</v>
      </c>
      <c r="X92" s="4">
        <v>0</v>
      </c>
      <c r="Y92" s="16">
        <v>0</v>
      </c>
      <c r="Z92" s="4">
        <v>0</v>
      </c>
      <c r="AA92" s="4">
        <v>5</v>
      </c>
      <c r="AB92" s="16">
        <v>25000</v>
      </c>
      <c r="AC92" s="4">
        <v>1</v>
      </c>
      <c r="AD92" s="4">
        <v>2</v>
      </c>
      <c r="AE92" s="16">
        <v>3000</v>
      </c>
      <c r="AF92" s="4">
        <v>1</v>
      </c>
      <c r="AG92" s="4">
        <v>577</v>
      </c>
      <c r="AH92" s="16">
        <v>865500</v>
      </c>
      <c r="AI92" s="4">
        <v>4</v>
      </c>
      <c r="AJ92" s="4">
        <v>0</v>
      </c>
      <c r="AK92" s="16">
        <v>0</v>
      </c>
      <c r="AL92" s="28">
        <v>0</v>
      </c>
      <c r="AM92" s="4"/>
      <c r="AN92" s="2" t="s">
        <v>79</v>
      </c>
      <c r="AO92" s="4">
        <v>2022</v>
      </c>
      <c r="AP92" s="4">
        <v>25.3</v>
      </c>
      <c r="AQ92" s="16">
        <v>63250</v>
      </c>
      <c r="AR92" s="4">
        <v>1</v>
      </c>
      <c r="AS92" s="4"/>
      <c r="AT92" s="16"/>
      <c r="AU92" s="4">
        <v>0</v>
      </c>
      <c r="AV92" s="4">
        <v>59</v>
      </c>
      <c r="AW92" s="16">
        <v>88500</v>
      </c>
      <c r="AX92" s="4">
        <v>2</v>
      </c>
      <c r="AY92" s="4">
        <v>587</v>
      </c>
      <c r="AZ92" s="16">
        <v>880500</v>
      </c>
      <c r="BA92" s="4">
        <v>2</v>
      </c>
      <c r="BB92" s="4">
        <v>0</v>
      </c>
      <c r="BC92" s="16">
        <v>0</v>
      </c>
      <c r="BD92" s="4">
        <v>0</v>
      </c>
      <c r="BE92" s="4"/>
      <c r="BF92" s="4">
        <f t="shared" si="37"/>
        <v>27.5</v>
      </c>
      <c r="BG92" s="16">
        <f t="shared" si="38"/>
        <v>68750</v>
      </c>
      <c r="BH92" s="4">
        <f t="shared" si="39"/>
        <v>3</v>
      </c>
      <c r="BI92" s="4">
        <f t="shared" si="40"/>
        <v>5</v>
      </c>
      <c r="BJ92" s="16">
        <f t="shared" si="41"/>
        <v>25000</v>
      </c>
      <c r="BK92" s="4">
        <f t="shared" si="42"/>
        <v>1</v>
      </c>
      <c r="BL92" s="4">
        <f t="shared" si="43"/>
        <v>6</v>
      </c>
      <c r="BM92" s="16">
        <f t="shared" si="44"/>
        <v>9000</v>
      </c>
      <c r="BN92" s="4">
        <f t="shared" si="45"/>
        <v>3</v>
      </c>
      <c r="BO92" s="4">
        <f t="shared" si="46"/>
        <v>2004</v>
      </c>
      <c r="BP92" s="16">
        <f t="shared" si="47"/>
        <v>3006000</v>
      </c>
      <c r="BQ92" s="4">
        <f t="shared" si="48"/>
        <v>13</v>
      </c>
      <c r="BR92" s="4">
        <f t="shared" si="49"/>
        <v>0</v>
      </c>
      <c r="BS92" s="16">
        <f t="shared" si="50"/>
        <v>0</v>
      </c>
      <c r="BT92" s="4">
        <f t="shared" si="51"/>
        <v>0</v>
      </c>
      <c r="BU92" s="4">
        <f t="shared" si="52"/>
        <v>2042.5</v>
      </c>
      <c r="BV92" s="16">
        <f t="shared" si="53"/>
        <v>3108750</v>
      </c>
      <c r="BW92" s="4">
        <f t="shared" si="54"/>
        <v>20</v>
      </c>
    </row>
    <row r="93" spans="1:75" x14ac:dyDescent="0.25">
      <c r="A93" s="2" t="s">
        <v>79</v>
      </c>
      <c r="B93" s="4">
        <v>2020</v>
      </c>
      <c r="C93" s="4">
        <v>16.920000000000002</v>
      </c>
      <c r="D93" s="4" t="str">
        <f t="shared" si="55"/>
        <v>$41,790.00</v>
      </c>
      <c r="E93" s="16">
        <v>41790</v>
      </c>
      <c r="F93" s="4">
        <v>3</v>
      </c>
      <c r="G93" s="4">
        <v>6.4</v>
      </c>
      <c r="H93" s="4" t="str">
        <f t="shared" si="56"/>
        <v>$32,000.00</v>
      </c>
      <c r="I93" s="16">
        <v>32000</v>
      </c>
      <c r="J93" s="4">
        <v>4</v>
      </c>
      <c r="K93" s="4">
        <v>85</v>
      </c>
      <c r="L93" s="4" t="str">
        <f t="shared" si="57"/>
        <v>$127,500.00</v>
      </c>
      <c r="M93" s="16">
        <v>127500</v>
      </c>
      <c r="N93" s="4">
        <v>2</v>
      </c>
      <c r="O93" s="4">
        <v>320</v>
      </c>
      <c r="P93" s="4" t="str">
        <f t="shared" si="58"/>
        <v>$480,000.00</v>
      </c>
      <c r="Q93" s="16">
        <v>480000</v>
      </c>
      <c r="R93" s="4">
        <v>2</v>
      </c>
      <c r="S93" s="4">
        <v>0</v>
      </c>
      <c r="T93" s="16">
        <v>0</v>
      </c>
      <c r="U93" s="4">
        <v>0</v>
      </c>
      <c r="V93" s="4" t="s">
        <v>81</v>
      </c>
      <c r="W93" s="4">
        <v>2021</v>
      </c>
      <c r="X93" s="4">
        <v>0</v>
      </c>
      <c r="Y93" s="16">
        <v>0</v>
      </c>
      <c r="Z93" s="4">
        <v>0</v>
      </c>
      <c r="AA93" s="4">
        <v>0</v>
      </c>
      <c r="AB93" s="16">
        <v>0</v>
      </c>
      <c r="AC93" s="4">
        <v>0</v>
      </c>
      <c r="AD93" s="4">
        <v>0</v>
      </c>
      <c r="AE93" s="16">
        <v>0</v>
      </c>
      <c r="AF93" s="4">
        <v>0</v>
      </c>
      <c r="AG93" s="4">
        <v>0</v>
      </c>
      <c r="AH93" s="16">
        <v>0</v>
      </c>
      <c r="AI93" s="4">
        <v>0</v>
      </c>
      <c r="AJ93" s="4">
        <v>0</v>
      </c>
      <c r="AK93" s="16">
        <v>0</v>
      </c>
      <c r="AL93" s="28">
        <v>0</v>
      </c>
      <c r="AM93" s="4"/>
      <c r="AN93" s="2" t="s">
        <v>80</v>
      </c>
      <c r="AO93" s="4">
        <v>2022</v>
      </c>
      <c r="AP93" s="4">
        <v>27.5</v>
      </c>
      <c r="AQ93" s="16">
        <v>68750</v>
      </c>
      <c r="AR93" s="4">
        <v>3</v>
      </c>
      <c r="AS93" s="4"/>
      <c r="AT93" s="16"/>
      <c r="AU93" s="4">
        <v>0</v>
      </c>
      <c r="AV93" s="4">
        <v>2</v>
      </c>
      <c r="AW93" s="16">
        <v>3000</v>
      </c>
      <c r="AX93" s="4">
        <v>1</v>
      </c>
      <c r="AY93" s="4">
        <v>973</v>
      </c>
      <c r="AZ93" s="16">
        <v>1459500</v>
      </c>
      <c r="BA93" s="4">
        <v>6</v>
      </c>
      <c r="BB93" s="4">
        <v>0</v>
      </c>
      <c r="BC93" s="16">
        <v>0</v>
      </c>
      <c r="BD93" s="4">
        <v>0</v>
      </c>
      <c r="BE93" s="4"/>
      <c r="BF93" s="4">
        <f t="shared" si="37"/>
        <v>0</v>
      </c>
      <c r="BG93" s="16">
        <f t="shared" si="38"/>
        <v>0</v>
      </c>
      <c r="BH93" s="4">
        <f t="shared" si="39"/>
        <v>0</v>
      </c>
      <c r="BI93" s="4">
        <f t="shared" si="40"/>
        <v>0</v>
      </c>
      <c r="BJ93" s="16">
        <f t="shared" si="41"/>
        <v>0</v>
      </c>
      <c r="BK93" s="4">
        <f t="shared" si="42"/>
        <v>0</v>
      </c>
      <c r="BL93" s="4">
        <f t="shared" si="43"/>
        <v>0</v>
      </c>
      <c r="BM93" s="16">
        <f t="shared" si="44"/>
        <v>0</v>
      </c>
      <c r="BN93" s="4">
        <f t="shared" si="45"/>
        <v>0</v>
      </c>
      <c r="BO93" s="4">
        <f t="shared" si="46"/>
        <v>0</v>
      </c>
      <c r="BP93" s="16">
        <f t="shared" si="47"/>
        <v>0</v>
      </c>
      <c r="BQ93" s="4">
        <f t="shared" si="48"/>
        <v>0</v>
      </c>
      <c r="BR93" s="4">
        <f t="shared" si="49"/>
        <v>0</v>
      </c>
      <c r="BS93" s="16">
        <f t="shared" si="50"/>
        <v>0</v>
      </c>
      <c r="BT93" s="4">
        <f t="shared" si="51"/>
        <v>0</v>
      </c>
      <c r="BU93" s="4">
        <f t="shared" si="52"/>
        <v>0</v>
      </c>
      <c r="BV93" s="16">
        <f t="shared" si="53"/>
        <v>0</v>
      </c>
      <c r="BW93" s="4">
        <f t="shared" si="54"/>
        <v>0</v>
      </c>
    </row>
    <row r="94" spans="1:75" x14ac:dyDescent="0.25">
      <c r="A94" s="2" t="s">
        <v>80</v>
      </c>
      <c r="B94" s="4">
        <v>2020</v>
      </c>
      <c r="C94" s="4">
        <v>0</v>
      </c>
      <c r="D94" s="4" t="str">
        <f t="shared" si="55"/>
        <v>$0.00</v>
      </c>
      <c r="E94" s="16">
        <v>0</v>
      </c>
      <c r="F94" s="4">
        <v>0</v>
      </c>
      <c r="G94" s="4">
        <v>0</v>
      </c>
      <c r="H94" s="4" t="str">
        <f t="shared" si="56"/>
        <v>$0.00</v>
      </c>
      <c r="I94" s="16">
        <v>0</v>
      </c>
      <c r="J94" s="4">
        <v>0</v>
      </c>
      <c r="K94" s="4">
        <v>2</v>
      </c>
      <c r="L94" s="4" t="str">
        <f t="shared" si="57"/>
        <v>$3,000.00</v>
      </c>
      <c r="M94" s="16">
        <v>3000</v>
      </c>
      <c r="N94" s="4">
        <v>1</v>
      </c>
      <c r="O94" s="4">
        <v>454</v>
      </c>
      <c r="P94" s="4" t="str">
        <f t="shared" si="58"/>
        <v>$681,000.00</v>
      </c>
      <c r="Q94" s="16">
        <v>681000</v>
      </c>
      <c r="R94" s="4">
        <v>3</v>
      </c>
      <c r="S94" s="4">
        <v>0</v>
      </c>
      <c r="T94" s="16">
        <v>0</v>
      </c>
      <c r="U94" s="4">
        <v>0</v>
      </c>
      <c r="V94" s="4" t="s">
        <v>82</v>
      </c>
      <c r="W94" s="4">
        <v>2021</v>
      </c>
      <c r="X94" s="4">
        <v>57</v>
      </c>
      <c r="Y94" s="16">
        <v>142500</v>
      </c>
      <c r="Z94" s="4">
        <v>2</v>
      </c>
      <c r="AA94" s="4">
        <v>0</v>
      </c>
      <c r="AB94" s="16">
        <v>0</v>
      </c>
      <c r="AC94" s="4">
        <v>0</v>
      </c>
      <c r="AD94" s="4">
        <v>60</v>
      </c>
      <c r="AE94" s="16">
        <v>90000</v>
      </c>
      <c r="AF94" s="4">
        <v>4</v>
      </c>
      <c r="AG94" s="4">
        <v>2338.4499999999998</v>
      </c>
      <c r="AH94" s="16">
        <v>3507674.9999999995</v>
      </c>
      <c r="AI94" s="4">
        <v>9</v>
      </c>
      <c r="AJ94" s="4">
        <v>1</v>
      </c>
      <c r="AK94" s="16">
        <v>30000</v>
      </c>
      <c r="AL94" s="28">
        <v>1</v>
      </c>
      <c r="AM94" s="4"/>
      <c r="AN94" s="2" t="s">
        <v>81</v>
      </c>
      <c r="AO94" s="4">
        <v>2022</v>
      </c>
      <c r="AP94" s="4">
        <v>0</v>
      </c>
      <c r="AQ94" s="16">
        <v>0</v>
      </c>
      <c r="AR94" s="4">
        <v>0</v>
      </c>
      <c r="AS94" s="4"/>
      <c r="AT94" s="16"/>
      <c r="AU94" s="4">
        <v>0</v>
      </c>
      <c r="AV94" s="4">
        <v>0</v>
      </c>
      <c r="AW94" s="16">
        <v>0</v>
      </c>
      <c r="AX94" s="4">
        <v>0</v>
      </c>
      <c r="AY94" s="4">
        <v>0</v>
      </c>
      <c r="AZ94" s="16">
        <v>0</v>
      </c>
      <c r="BA94" s="4">
        <v>0</v>
      </c>
      <c r="BB94" s="4">
        <v>0</v>
      </c>
      <c r="BC94" s="16">
        <v>0</v>
      </c>
      <c r="BD94" s="4">
        <v>0</v>
      </c>
      <c r="BE94" s="4"/>
      <c r="BF94" s="4">
        <f t="shared" si="37"/>
        <v>129.69999999999999</v>
      </c>
      <c r="BG94" s="16">
        <f t="shared" si="38"/>
        <v>316250</v>
      </c>
      <c r="BH94" s="4">
        <f t="shared" si="39"/>
        <v>9</v>
      </c>
      <c r="BI94" s="4">
        <f t="shared" si="40"/>
        <v>5.7</v>
      </c>
      <c r="BJ94" s="16">
        <f t="shared" si="41"/>
        <v>28500</v>
      </c>
      <c r="BK94" s="4">
        <f t="shared" si="42"/>
        <v>2</v>
      </c>
      <c r="BL94" s="4">
        <f t="shared" si="43"/>
        <v>134</v>
      </c>
      <c r="BM94" s="16">
        <f t="shared" si="44"/>
        <v>201000</v>
      </c>
      <c r="BN94" s="4">
        <f t="shared" si="45"/>
        <v>9</v>
      </c>
      <c r="BO94" s="4">
        <f t="shared" si="46"/>
        <v>6437.73</v>
      </c>
      <c r="BP94" s="16">
        <f t="shared" si="47"/>
        <v>9656595</v>
      </c>
      <c r="BQ94" s="4">
        <f t="shared" si="48"/>
        <v>26</v>
      </c>
      <c r="BR94" s="4">
        <f t="shared" si="49"/>
        <v>2</v>
      </c>
      <c r="BS94" s="16">
        <f t="shared" si="50"/>
        <v>97500</v>
      </c>
      <c r="BT94" s="4">
        <f t="shared" si="51"/>
        <v>2</v>
      </c>
      <c r="BU94" s="4">
        <f t="shared" si="52"/>
        <v>6707.1299999999992</v>
      </c>
      <c r="BV94" s="16">
        <f t="shared" si="53"/>
        <v>10299845</v>
      </c>
      <c r="BW94" s="4">
        <f t="shared" si="54"/>
        <v>48</v>
      </c>
    </row>
    <row r="95" spans="1:75" x14ac:dyDescent="0.25">
      <c r="A95" s="2" t="s">
        <v>81</v>
      </c>
      <c r="B95" s="4">
        <v>2020</v>
      </c>
      <c r="C95" s="4">
        <v>0</v>
      </c>
      <c r="D95" s="4" t="str">
        <f t="shared" si="55"/>
        <v>$0.00</v>
      </c>
      <c r="E95" s="16">
        <v>0</v>
      </c>
      <c r="F95" s="4">
        <v>0</v>
      </c>
      <c r="G95" s="4">
        <v>0</v>
      </c>
      <c r="H95" s="4" t="str">
        <f t="shared" si="56"/>
        <v>$0.00</v>
      </c>
      <c r="I95" s="16">
        <v>0</v>
      </c>
      <c r="J95" s="4">
        <v>0</v>
      </c>
      <c r="K95" s="4">
        <v>0</v>
      </c>
      <c r="L95" s="4" t="str">
        <f t="shared" si="57"/>
        <v>$0.00</v>
      </c>
      <c r="M95" s="16">
        <v>0</v>
      </c>
      <c r="N95" s="4">
        <v>0</v>
      </c>
      <c r="O95" s="4">
        <v>0</v>
      </c>
      <c r="P95" s="4" t="str">
        <f t="shared" si="58"/>
        <v>$0.00</v>
      </c>
      <c r="Q95" s="16">
        <v>0</v>
      </c>
      <c r="R95" s="4">
        <v>0</v>
      </c>
      <c r="S95" s="4">
        <v>0</v>
      </c>
      <c r="T95" s="16">
        <v>0</v>
      </c>
      <c r="U95" s="4">
        <v>0</v>
      </c>
      <c r="V95" s="4" t="s">
        <v>83</v>
      </c>
      <c r="W95" s="4">
        <v>2021</v>
      </c>
      <c r="X95" s="4">
        <v>0</v>
      </c>
      <c r="Y95" s="16">
        <v>0</v>
      </c>
      <c r="Z95" s="4">
        <v>0</v>
      </c>
      <c r="AA95" s="4">
        <v>0</v>
      </c>
      <c r="AB95" s="16">
        <v>0</v>
      </c>
      <c r="AC95" s="4">
        <v>0</v>
      </c>
      <c r="AD95" s="4">
        <v>0</v>
      </c>
      <c r="AE95" s="16">
        <v>0</v>
      </c>
      <c r="AF95" s="4">
        <v>0</v>
      </c>
      <c r="AG95" s="4">
        <v>0</v>
      </c>
      <c r="AH95" s="16">
        <v>0</v>
      </c>
      <c r="AI95" s="4">
        <v>0</v>
      </c>
      <c r="AJ95" s="4">
        <v>0</v>
      </c>
      <c r="AK95" s="16">
        <v>0</v>
      </c>
      <c r="AL95" s="28">
        <v>0</v>
      </c>
      <c r="AM95" s="4"/>
      <c r="AN95" s="2" t="s">
        <v>82</v>
      </c>
      <c r="AO95" s="4">
        <v>2022</v>
      </c>
      <c r="AP95" s="4">
        <v>23.700000000000003</v>
      </c>
      <c r="AQ95" s="16">
        <v>59250.000000000007</v>
      </c>
      <c r="AR95" s="4">
        <v>2</v>
      </c>
      <c r="AS95" s="4">
        <v>1.5</v>
      </c>
      <c r="AT95" s="16">
        <v>7500</v>
      </c>
      <c r="AU95" s="4">
        <v>1</v>
      </c>
      <c r="AV95" s="4">
        <v>54</v>
      </c>
      <c r="AW95" s="16">
        <v>81000</v>
      </c>
      <c r="AX95" s="4">
        <v>2</v>
      </c>
      <c r="AY95" s="4">
        <v>2048.81</v>
      </c>
      <c r="AZ95" s="16">
        <v>3073215</v>
      </c>
      <c r="BA95" s="4">
        <v>9</v>
      </c>
      <c r="BB95" s="4">
        <v>0</v>
      </c>
      <c r="BC95" s="16">
        <v>0</v>
      </c>
      <c r="BD95" s="4">
        <v>0</v>
      </c>
      <c r="BE95" s="4"/>
      <c r="BF95" s="4">
        <f t="shared" si="37"/>
        <v>0</v>
      </c>
      <c r="BG95" s="16">
        <f t="shared" si="38"/>
        <v>0</v>
      </c>
      <c r="BH95" s="4">
        <f t="shared" si="39"/>
        <v>0</v>
      </c>
      <c r="BI95" s="4">
        <f t="shared" si="40"/>
        <v>0</v>
      </c>
      <c r="BJ95" s="16">
        <f t="shared" si="41"/>
        <v>0</v>
      </c>
      <c r="BK95" s="4">
        <f t="shared" si="42"/>
        <v>0</v>
      </c>
      <c r="BL95" s="4">
        <f t="shared" si="43"/>
        <v>0</v>
      </c>
      <c r="BM95" s="16">
        <f t="shared" si="44"/>
        <v>0</v>
      </c>
      <c r="BN95" s="4">
        <f t="shared" si="45"/>
        <v>0</v>
      </c>
      <c r="BO95" s="4">
        <f t="shared" si="46"/>
        <v>0</v>
      </c>
      <c r="BP95" s="16">
        <f t="shared" si="47"/>
        <v>0</v>
      </c>
      <c r="BQ95" s="4">
        <f t="shared" si="48"/>
        <v>0</v>
      </c>
      <c r="BR95" s="4">
        <f t="shared" si="49"/>
        <v>0</v>
      </c>
      <c r="BS95" s="16">
        <f t="shared" si="50"/>
        <v>0</v>
      </c>
      <c r="BT95" s="4">
        <f t="shared" si="51"/>
        <v>0</v>
      </c>
      <c r="BU95" s="4">
        <f t="shared" si="52"/>
        <v>0</v>
      </c>
      <c r="BV95" s="16">
        <f t="shared" si="53"/>
        <v>0</v>
      </c>
      <c r="BW95" s="4">
        <f t="shared" si="54"/>
        <v>0</v>
      </c>
    </row>
    <row r="96" spans="1:75" x14ac:dyDescent="0.25">
      <c r="A96" s="2" t="s">
        <v>82</v>
      </c>
      <c r="B96" s="4">
        <v>2020</v>
      </c>
      <c r="C96" s="4">
        <v>49</v>
      </c>
      <c r="D96" s="4" t="str">
        <f t="shared" si="55"/>
        <v>$114,500.00</v>
      </c>
      <c r="E96" s="16">
        <v>114500</v>
      </c>
      <c r="F96" s="4">
        <v>5</v>
      </c>
      <c r="G96" s="4">
        <v>4.2</v>
      </c>
      <c r="H96" s="4" t="str">
        <f t="shared" si="56"/>
        <v>$21,000.00</v>
      </c>
      <c r="I96" s="16">
        <v>21000</v>
      </c>
      <c r="J96" s="4">
        <v>1</v>
      </c>
      <c r="K96" s="4">
        <v>20</v>
      </c>
      <c r="L96" s="4" t="str">
        <f t="shared" si="57"/>
        <v>$30,000.00</v>
      </c>
      <c r="M96" s="16">
        <v>30000</v>
      </c>
      <c r="N96" s="4">
        <v>3</v>
      </c>
      <c r="O96" s="4">
        <v>2050.4699999999998</v>
      </c>
      <c r="P96" s="4" t="str">
        <f t="shared" si="58"/>
        <v>$3,075,705.00</v>
      </c>
      <c r="Q96" s="16">
        <v>3075704.9999999995</v>
      </c>
      <c r="R96" s="4">
        <v>8</v>
      </c>
      <c r="S96" s="4">
        <v>1</v>
      </c>
      <c r="T96" s="16">
        <v>67500</v>
      </c>
      <c r="U96" s="4">
        <v>1</v>
      </c>
      <c r="V96" s="4" t="s">
        <v>84</v>
      </c>
      <c r="W96" s="4">
        <v>2021</v>
      </c>
      <c r="X96" s="4">
        <v>0</v>
      </c>
      <c r="Y96" s="16">
        <v>0</v>
      </c>
      <c r="Z96" s="4">
        <v>0</v>
      </c>
      <c r="AA96" s="4">
        <v>14.2</v>
      </c>
      <c r="AB96" s="16">
        <v>71000</v>
      </c>
      <c r="AC96" s="4">
        <v>1</v>
      </c>
      <c r="AD96" s="4">
        <v>0</v>
      </c>
      <c r="AE96" s="16">
        <v>0</v>
      </c>
      <c r="AF96" s="4">
        <v>0</v>
      </c>
      <c r="AG96" s="4">
        <v>0</v>
      </c>
      <c r="AH96" s="16">
        <v>0</v>
      </c>
      <c r="AI96" s="4">
        <v>0</v>
      </c>
      <c r="AJ96" s="4">
        <v>0</v>
      </c>
      <c r="AK96" s="16">
        <v>0</v>
      </c>
      <c r="AL96" s="28">
        <v>0</v>
      </c>
      <c r="AM96" s="4"/>
      <c r="AN96" s="2" t="s">
        <v>83</v>
      </c>
      <c r="AO96" s="4">
        <v>2022</v>
      </c>
      <c r="AP96" s="4">
        <v>0</v>
      </c>
      <c r="AQ96" s="16">
        <v>0</v>
      </c>
      <c r="AR96" s="4">
        <v>0</v>
      </c>
      <c r="AS96" s="4"/>
      <c r="AT96" s="16"/>
      <c r="AU96" s="4">
        <v>0</v>
      </c>
      <c r="AV96" s="4">
        <v>0</v>
      </c>
      <c r="AW96" s="16">
        <v>0</v>
      </c>
      <c r="AX96" s="4">
        <v>0</v>
      </c>
      <c r="AY96" s="4">
        <v>0</v>
      </c>
      <c r="AZ96" s="16">
        <v>0</v>
      </c>
      <c r="BA96" s="4">
        <v>0</v>
      </c>
      <c r="BB96" s="4">
        <v>0</v>
      </c>
      <c r="BC96" s="16">
        <v>0</v>
      </c>
      <c r="BD96" s="4">
        <v>0</v>
      </c>
      <c r="BE96" s="4"/>
      <c r="BF96" s="4">
        <f t="shared" si="37"/>
        <v>0</v>
      </c>
      <c r="BG96" s="16">
        <f t="shared" si="38"/>
        <v>0</v>
      </c>
      <c r="BH96" s="4">
        <f t="shared" si="39"/>
        <v>0</v>
      </c>
      <c r="BI96" s="4">
        <f t="shared" si="40"/>
        <v>14.2</v>
      </c>
      <c r="BJ96" s="16">
        <f t="shared" si="41"/>
        <v>71000</v>
      </c>
      <c r="BK96" s="4">
        <f t="shared" si="42"/>
        <v>1</v>
      </c>
      <c r="BL96" s="4">
        <f t="shared" si="43"/>
        <v>0</v>
      </c>
      <c r="BM96" s="16">
        <f t="shared" si="44"/>
        <v>0</v>
      </c>
      <c r="BN96" s="4">
        <f t="shared" si="45"/>
        <v>0</v>
      </c>
      <c r="BO96" s="4">
        <f t="shared" si="46"/>
        <v>0</v>
      </c>
      <c r="BP96" s="16">
        <f t="shared" si="47"/>
        <v>0</v>
      </c>
      <c r="BQ96" s="4">
        <f t="shared" si="48"/>
        <v>0</v>
      </c>
      <c r="BR96" s="4">
        <f t="shared" si="49"/>
        <v>0</v>
      </c>
      <c r="BS96" s="16">
        <f t="shared" si="50"/>
        <v>0</v>
      </c>
      <c r="BT96" s="4">
        <f t="shared" si="51"/>
        <v>0</v>
      </c>
      <c r="BU96" s="4">
        <f t="shared" si="52"/>
        <v>14.2</v>
      </c>
      <c r="BV96" s="16">
        <f t="shared" si="53"/>
        <v>71000</v>
      </c>
      <c r="BW96" s="4">
        <f t="shared" si="54"/>
        <v>1</v>
      </c>
    </row>
    <row r="97" spans="1:75" x14ac:dyDescent="0.25">
      <c r="A97" s="2" t="s">
        <v>83</v>
      </c>
      <c r="B97" s="4">
        <v>2020</v>
      </c>
      <c r="C97" s="4">
        <v>0</v>
      </c>
      <c r="D97" s="4" t="str">
        <f t="shared" si="55"/>
        <v>$0.00</v>
      </c>
      <c r="E97" s="16">
        <v>0</v>
      </c>
      <c r="F97" s="4">
        <v>0</v>
      </c>
      <c r="G97" s="4">
        <v>0</v>
      </c>
      <c r="H97" s="4" t="str">
        <f t="shared" si="56"/>
        <v>$0.00</v>
      </c>
      <c r="I97" s="16">
        <v>0</v>
      </c>
      <c r="J97" s="4">
        <v>0</v>
      </c>
      <c r="K97" s="4">
        <v>0</v>
      </c>
      <c r="L97" s="4" t="str">
        <f t="shared" si="57"/>
        <v>$0.00</v>
      </c>
      <c r="M97" s="16">
        <v>0</v>
      </c>
      <c r="N97" s="4">
        <v>0</v>
      </c>
      <c r="O97" s="4">
        <v>0</v>
      </c>
      <c r="P97" s="4" t="str">
        <f t="shared" si="58"/>
        <v>$0.00</v>
      </c>
      <c r="Q97" s="16">
        <v>0</v>
      </c>
      <c r="R97" s="4">
        <v>0</v>
      </c>
      <c r="S97" s="4">
        <v>0</v>
      </c>
      <c r="T97" s="16">
        <v>0</v>
      </c>
      <c r="U97" s="4">
        <v>0</v>
      </c>
      <c r="V97" s="4" t="s">
        <v>85</v>
      </c>
      <c r="W97" s="4">
        <v>2021</v>
      </c>
      <c r="X97" s="4">
        <v>34.25</v>
      </c>
      <c r="Y97" s="16">
        <v>85625</v>
      </c>
      <c r="Z97" s="4">
        <v>3</v>
      </c>
      <c r="AA97" s="4">
        <v>25</v>
      </c>
      <c r="AB97" s="16">
        <v>125000</v>
      </c>
      <c r="AC97" s="4">
        <v>2</v>
      </c>
      <c r="AD97" s="4">
        <v>122</v>
      </c>
      <c r="AE97" s="16">
        <v>183000</v>
      </c>
      <c r="AF97" s="4">
        <v>5</v>
      </c>
      <c r="AG97" s="4">
        <v>598.35</v>
      </c>
      <c r="AH97" s="16">
        <v>897525</v>
      </c>
      <c r="AI97" s="4">
        <v>2</v>
      </c>
      <c r="AJ97" s="4">
        <v>1</v>
      </c>
      <c r="AK97" s="16">
        <v>20000</v>
      </c>
      <c r="AL97" s="28">
        <v>1</v>
      </c>
      <c r="AM97" s="4"/>
      <c r="AN97" s="2" t="s">
        <v>84</v>
      </c>
      <c r="AO97" s="4">
        <v>2022</v>
      </c>
      <c r="AP97" s="4">
        <v>0</v>
      </c>
      <c r="AQ97" s="16">
        <v>0</v>
      </c>
      <c r="AR97" s="4">
        <v>0</v>
      </c>
      <c r="AS97" s="4"/>
      <c r="AT97" s="16"/>
      <c r="AU97" s="4">
        <v>0</v>
      </c>
      <c r="AV97" s="4">
        <v>0</v>
      </c>
      <c r="AW97" s="16">
        <v>0</v>
      </c>
      <c r="AX97" s="4">
        <v>0</v>
      </c>
      <c r="AY97" s="4">
        <v>0</v>
      </c>
      <c r="AZ97" s="16">
        <v>0</v>
      </c>
      <c r="BA97" s="4">
        <v>0</v>
      </c>
      <c r="BB97" s="4">
        <v>0</v>
      </c>
      <c r="BC97" s="16">
        <v>0</v>
      </c>
      <c r="BD97" s="4">
        <v>0</v>
      </c>
      <c r="BE97" s="4"/>
      <c r="BF97" s="4">
        <f t="shared" si="37"/>
        <v>378.24</v>
      </c>
      <c r="BG97" s="16">
        <f t="shared" si="38"/>
        <v>960280</v>
      </c>
      <c r="BH97" s="4">
        <f t="shared" si="39"/>
        <v>10</v>
      </c>
      <c r="BI97" s="4">
        <f t="shared" si="40"/>
        <v>160.1</v>
      </c>
      <c r="BJ97" s="16">
        <f t="shared" si="41"/>
        <v>800500</v>
      </c>
      <c r="BK97" s="4">
        <f t="shared" si="42"/>
        <v>4</v>
      </c>
      <c r="BL97" s="4">
        <f t="shared" si="43"/>
        <v>447</v>
      </c>
      <c r="BM97" s="16">
        <f t="shared" si="44"/>
        <v>670500</v>
      </c>
      <c r="BN97" s="4">
        <f t="shared" si="45"/>
        <v>17</v>
      </c>
      <c r="BO97" s="4">
        <f t="shared" si="46"/>
        <v>1536.7</v>
      </c>
      <c r="BP97" s="16">
        <f t="shared" si="47"/>
        <v>2305050</v>
      </c>
      <c r="BQ97" s="4">
        <f t="shared" si="48"/>
        <v>10</v>
      </c>
      <c r="BR97" s="4">
        <f t="shared" si="49"/>
        <v>4</v>
      </c>
      <c r="BS97" s="16">
        <f t="shared" si="50"/>
        <v>200000</v>
      </c>
      <c r="BT97" s="4">
        <f t="shared" si="51"/>
        <v>4</v>
      </c>
      <c r="BU97" s="4">
        <f t="shared" si="52"/>
        <v>2522.04</v>
      </c>
      <c r="BV97" s="16">
        <f t="shared" si="53"/>
        <v>4936330</v>
      </c>
      <c r="BW97" s="4">
        <f t="shared" si="54"/>
        <v>45</v>
      </c>
    </row>
    <row r="98" spans="1:75" x14ac:dyDescent="0.25">
      <c r="A98" s="2" t="s">
        <v>84</v>
      </c>
      <c r="B98" s="4">
        <v>2020</v>
      </c>
      <c r="C98" s="4">
        <v>0</v>
      </c>
      <c r="D98" s="4" t="str">
        <f t="shared" si="55"/>
        <v>$0.00</v>
      </c>
      <c r="E98" s="16">
        <v>0</v>
      </c>
      <c r="F98" s="4">
        <v>0</v>
      </c>
      <c r="G98" s="4">
        <v>0</v>
      </c>
      <c r="H98" s="4" t="str">
        <f t="shared" si="56"/>
        <v>$0.00</v>
      </c>
      <c r="I98" s="16">
        <v>0</v>
      </c>
      <c r="J98" s="4">
        <v>0</v>
      </c>
      <c r="K98" s="4">
        <v>0</v>
      </c>
      <c r="L98" s="4" t="str">
        <f t="shared" si="57"/>
        <v>$0.00</v>
      </c>
      <c r="M98" s="16">
        <v>0</v>
      </c>
      <c r="N98" s="4">
        <v>0</v>
      </c>
      <c r="O98" s="4">
        <v>0</v>
      </c>
      <c r="P98" s="4" t="str">
        <f t="shared" si="58"/>
        <v>$0.00</v>
      </c>
      <c r="Q98" s="16">
        <v>0</v>
      </c>
      <c r="R98" s="4">
        <v>0</v>
      </c>
      <c r="S98" s="4">
        <v>0</v>
      </c>
      <c r="T98" s="16">
        <v>0</v>
      </c>
      <c r="U98" s="4">
        <v>0</v>
      </c>
      <c r="V98" s="4" t="s">
        <v>86</v>
      </c>
      <c r="W98" s="4">
        <v>2021</v>
      </c>
      <c r="X98" s="4">
        <v>0</v>
      </c>
      <c r="Y98" s="16">
        <v>0</v>
      </c>
      <c r="Z98" s="4">
        <v>0</v>
      </c>
      <c r="AA98" s="4">
        <v>4.2</v>
      </c>
      <c r="AB98" s="16">
        <v>21000</v>
      </c>
      <c r="AC98" s="4">
        <v>1</v>
      </c>
      <c r="AD98" s="4">
        <v>0</v>
      </c>
      <c r="AE98" s="16">
        <v>0</v>
      </c>
      <c r="AF98" s="4">
        <v>0</v>
      </c>
      <c r="AG98" s="4">
        <v>0</v>
      </c>
      <c r="AH98" s="16">
        <v>0</v>
      </c>
      <c r="AI98" s="4">
        <v>0</v>
      </c>
      <c r="AJ98" s="4">
        <v>0</v>
      </c>
      <c r="AK98" s="16">
        <v>0</v>
      </c>
      <c r="AL98" s="28">
        <v>0</v>
      </c>
      <c r="AM98" s="4"/>
      <c r="AN98" s="2" t="s">
        <v>85</v>
      </c>
      <c r="AO98" s="4">
        <v>2022</v>
      </c>
      <c r="AP98" s="4">
        <v>307.5</v>
      </c>
      <c r="AQ98" s="16">
        <v>768750</v>
      </c>
      <c r="AR98" s="4">
        <v>3</v>
      </c>
      <c r="AS98" s="4"/>
      <c r="AT98" s="16"/>
      <c r="AU98" s="4">
        <v>0</v>
      </c>
      <c r="AV98" s="4">
        <v>199</v>
      </c>
      <c r="AW98" s="16">
        <v>298500</v>
      </c>
      <c r="AX98" s="4">
        <v>6</v>
      </c>
      <c r="AY98" s="4">
        <v>638.35</v>
      </c>
      <c r="AZ98" s="16">
        <v>957525</v>
      </c>
      <c r="BA98" s="4">
        <v>6</v>
      </c>
      <c r="BB98" s="4">
        <v>0</v>
      </c>
      <c r="BC98" s="16">
        <v>0</v>
      </c>
      <c r="BD98" s="4">
        <v>0</v>
      </c>
      <c r="BE98" s="4"/>
      <c r="BF98" s="4">
        <f t="shared" si="37"/>
        <v>0</v>
      </c>
      <c r="BG98" s="16">
        <f t="shared" si="38"/>
        <v>0</v>
      </c>
      <c r="BH98" s="4">
        <f t="shared" si="39"/>
        <v>0</v>
      </c>
      <c r="BI98" s="4">
        <f t="shared" si="40"/>
        <v>8.4</v>
      </c>
      <c r="BJ98" s="16">
        <f t="shared" si="41"/>
        <v>42000</v>
      </c>
      <c r="BK98" s="4">
        <f t="shared" si="42"/>
        <v>2</v>
      </c>
      <c r="BL98" s="4">
        <f t="shared" si="43"/>
        <v>0</v>
      </c>
      <c r="BM98" s="16">
        <f t="shared" si="44"/>
        <v>0</v>
      </c>
      <c r="BN98" s="4">
        <f t="shared" si="45"/>
        <v>0</v>
      </c>
      <c r="BO98" s="4">
        <f t="shared" si="46"/>
        <v>0</v>
      </c>
      <c r="BP98" s="16">
        <f t="shared" si="47"/>
        <v>0</v>
      </c>
      <c r="BQ98" s="4">
        <f t="shared" si="48"/>
        <v>0</v>
      </c>
      <c r="BR98" s="4">
        <f t="shared" si="49"/>
        <v>0</v>
      </c>
      <c r="BS98" s="16">
        <f t="shared" si="50"/>
        <v>0</v>
      </c>
      <c r="BT98" s="4">
        <f t="shared" si="51"/>
        <v>0</v>
      </c>
      <c r="BU98" s="4">
        <f t="shared" si="52"/>
        <v>8.4</v>
      </c>
      <c r="BV98" s="16">
        <f t="shared" si="53"/>
        <v>42000</v>
      </c>
      <c r="BW98" s="4">
        <f t="shared" si="54"/>
        <v>2</v>
      </c>
    </row>
    <row r="99" spans="1:75" x14ac:dyDescent="0.25">
      <c r="A99" s="2" t="s">
        <v>85</v>
      </c>
      <c r="B99" s="4">
        <v>2020</v>
      </c>
      <c r="C99" s="4">
        <v>36.49</v>
      </c>
      <c r="D99" s="4" t="str">
        <f t="shared" si="55"/>
        <v>$105,905.00</v>
      </c>
      <c r="E99" s="16">
        <v>105905</v>
      </c>
      <c r="F99" s="4">
        <v>4</v>
      </c>
      <c r="G99" s="4">
        <v>135.1</v>
      </c>
      <c r="H99" s="4" t="str">
        <f t="shared" si="56"/>
        <v>$675,500.00</v>
      </c>
      <c r="I99" s="16">
        <v>675500</v>
      </c>
      <c r="J99" s="4">
        <v>2</v>
      </c>
      <c r="K99" s="4">
        <v>126</v>
      </c>
      <c r="L99" s="4" t="str">
        <f t="shared" si="57"/>
        <v>$189,000.00</v>
      </c>
      <c r="M99" s="16">
        <v>189000</v>
      </c>
      <c r="N99" s="4">
        <v>6</v>
      </c>
      <c r="O99" s="4">
        <v>300</v>
      </c>
      <c r="P99" s="4" t="str">
        <f t="shared" si="58"/>
        <v>$450,000.00</v>
      </c>
      <c r="Q99" s="16">
        <v>450000</v>
      </c>
      <c r="R99" s="4">
        <v>2</v>
      </c>
      <c r="S99" s="4">
        <v>3</v>
      </c>
      <c r="T99" s="16">
        <v>180000</v>
      </c>
      <c r="U99" s="4">
        <v>3</v>
      </c>
      <c r="V99" s="4" t="s">
        <v>135</v>
      </c>
      <c r="W99" s="4">
        <v>2021</v>
      </c>
      <c r="X99" s="4">
        <v>13.96</v>
      </c>
      <c r="Y99" s="16">
        <v>34900</v>
      </c>
      <c r="Z99" s="4">
        <v>2</v>
      </c>
      <c r="AA99" s="4">
        <v>0</v>
      </c>
      <c r="AB99" s="16">
        <v>0</v>
      </c>
      <c r="AC99" s="4">
        <v>0</v>
      </c>
      <c r="AD99" s="4">
        <v>0</v>
      </c>
      <c r="AE99" s="16">
        <v>0</v>
      </c>
      <c r="AF99" s="4">
        <v>0</v>
      </c>
      <c r="AG99" s="4">
        <v>533.33000000000004</v>
      </c>
      <c r="AH99" s="16">
        <v>799995.00000000012</v>
      </c>
      <c r="AI99" s="4">
        <v>3</v>
      </c>
      <c r="AJ99" s="4">
        <v>0</v>
      </c>
      <c r="AK99" s="16">
        <v>0</v>
      </c>
      <c r="AL99" s="28">
        <v>0</v>
      </c>
      <c r="AM99" s="4"/>
      <c r="AN99" s="2" t="s">
        <v>86</v>
      </c>
      <c r="AO99" s="4">
        <v>2022</v>
      </c>
      <c r="AP99" s="4">
        <v>0</v>
      </c>
      <c r="AQ99" s="16">
        <v>0</v>
      </c>
      <c r="AR99" s="4">
        <v>0</v>
      </c>
      <c r="AS99" s="4"/>
      <c r="AT99" s="16"/>
      <c r="AU99" s="4">
        <v>0</v>
      </c>
      <c r="AV99" s="4">
        <v>0</v>
      </c>
      <c r="AW99" s="16">
        <v>0</v>
      </c>
      <c r="AX99" s="4">
        <v>0</v>
      </c>
      <c r="AY99" s="4">
        <v>0</v>
      </c>
      <c r="AZ99" s="16">
        <v>0</v>
      </c>
      <c r="BA99" s="4">
        <v>0</v>
      </c>
      <c r="BB99" s="4">
        <v>0</v>
      </c>
      <c r="BC99" s="16">
        <v>0</v>
      </c>
      <c r="BD99" s="4">
        <v>0</v>
      </c>
      <c r="BE99" s="4"/>
      <c r="BF99" s="4">
        <f t="shared" ref="BF99:BF130" si="59">C101+X99+AP100</f>
        <v>51.96</v>
      </c>
      <c r="BG99" s="16">
        <f t="shared" ref="BG99:BG130" si="60">E101+Y99+AQ100</f>
        <v>117400</v>
      </c>
      <c r="BH99" s="4">
        <f t="shared" ref="BH99:BH130" si="61">F101+Z99+AR100</f>
        <v>7</v>
      </c>
      <c r="BI99" s="4">
        <f t="shared" ref="BI99:BI130" si="62">G101+AA99+AS100</f>
        <v>15</v>
      </c>
      <c r="BJ99" s="16">
        <f t="shared" ref="BJ99:BJ130" si="63">I101+AB99+AT100</f>
        <v>75000</v>
      </c>
      <c r="BK99" s="4">
        <f t="shared" ref="BK99:BK130" si="64">J101+AC99+AU100</f>
        <v>1</v>
      </c>
      <c r="BL99" s="4">
        <f t="shared" ref="BL99:BL130" si="65">K101+AD99+AV100</f>
        <v>1</v>
      </c>
      <c r="BM99" s="16">
        <f t="shared" ref="BM99:BM130" si="66">M101+AE99+AW100</f>
        <v>1500</v>
      </c>
      <c r="BN99" s="4">
        <f t="shared" ref="BN99:BN130" si="67">N101+AF99+AX100</f>
        <v>1</v>
      </c>
      <c r="BO99" s="4">
        <f t="shared" ref="BO99:BO130" si="68">O101+AG99+AY100</f>
        <v>1210.6600000000001</v>
      </c>
      <c r="BP99" s="16">
        <f t="shared" ref="BP99:BP127" si="69">Q101+AH99+AZ100</f>
        <v>1815990.0000000002</v>
      </c>
      <c r="BQ99" s="4">
        <f t="shared" ref="BQ99:BQ127" si="70">R101+AI99+BA100</f>
        <v>7</v>
      </c>
      <c r="BR99" s="4">
        <f t="shared" ref="BR99:BR127" si="71">S101+AJ99+BB100</f>
        <v>0</v>
      </c>
      <c r="BS99" s="16">
        <f t="shared" ref="BS99:BS127" si="72">T101+AK99+BC100</f>
        <v>0</v>
      </c>
      <c r="BT99" s="4">
        <f t="shared" ref="BT99:BT127" si="73">U101+AL99+BD100</f>
        <v>0</v>
      </c>
      <c r="BU99" s="4">
        <f t="shared" si="52"/>
        <v>1278.6200000000001</v>
      </c>
      <c r="BV99" s="16">
        <f t="shared" si="53"/>
        <v>2009890.0000000002</v>
      </c>
      <c r="BW99" s="4">
        <f t="shared" si="54"/>
        <v>16</v>
      </c>
    </row>
    <row r="100" spans="1:75" x14ac:dyDescent="0.25">
      <c r="A100" s="2" t="s">
        <v>86</v>
      </c>
      <c r="B100" s="4">
        <v>2020</v>
      </c>
      <c r="C100" s="4">
        <v>0</v>
      </c>
      <c r="D100" s="4" t="str">
        <f t="shared" si="55"/>
        <v>$0.00</v>
      </c>
      <c r="E100" s="16">
        <v>0</v>
      </c>
      <c r="F100" s="4">
        <v>0</v>
      </c>
      <c r="G100" s="4">
        <v>4.2</v>
      </c>
      <c r="H100" s="4" t="str">
        <f t="shared" si="56"/>
        <v>$21,000.00</v>
      </c>
      <c r="I100" s="16">
        <v>21000</v>
      </c>
      <c r="J100" s="4">
        <v>1</v>
      </c>
      <c r="K100" s="4">
        <v>0</v>
      </c>
      <c r="L100" s="4" t="str">
        <f t="shared" si="57"/>
        <v>$0.00</v>
      </c>
      <c r="M100" s="16">
        <v>0</v>
      </c>
      <c r="N100" s="4">
        <v>0</v>
      </c>
      <c r="O100" s="4">
        <v>0</v>
      </c>
      <c r="P100" s="4" t="str">
        <f t="shared" si="58"/>
        <v>$0.00</v>
      </c>
      <c r="Q100" s="16">
        <v>0</v>
      </c>
      <c r="R100" s="4">
        <v>0</v>
      </c>
      <c r="S100" s="4">
        <v>0</v>
      </c>
      <c r="T100" s="16">
        <v>0</v>
      </c>
      <c r="U100" s="4">
        <v>0</v>
      </c>
      <c r="V100" s="4" t="s">
        <v>87</v>
      </c>
      <c r="W100" s="4">
        <v>2021</v>
      </c>
      <c r="X100" s="4">
        <v>3</v>
      </c>
      <c r="Y100" s="16">
        <v>7500</v>
      </c>
      <c r="Z100" s="4">
        <v>3</v>
      </c>
      <c r="AA100" s="4">
        <v>5.7</v>
      </c>
      <c r="AB100" s="16">
        <v>28500</v>
      </c>
      <c r="AC100" s="4">
        <v>3</v>
      </c>
      <c r="AD100" s="4">
        <v>0</v>
      </c>
      <c r="AE100" s="16">
        <v>0</v>
      </c>
      <c r="AF100" s="4">
        <v>0</v>
      </c>
      <c r="AG100" s="4">
        <v>0</v>
      </c>
      <c r="AH100" s="16">
        <v>0</v>
      </c>
      <c r="AI100" s="4">
        <v>0</v>
      </c>
      <c r="AJ100" s="4">
        <v>0</v>
      </c>
      <c r="AK100" s="16">
        <v>0</v>
      </c>
      <c r="AL100" s="28">
        <v>0</v>
      </c>
      <c r="AM100" s="4"/>
      <c r="AN100" s="2" t="s">
        <v>135</v>
      </c>
      <c r="AO100" s="4">
        <v>2022</v>
      </c>
      <c r="AP100" s="4">
        <v>13</v>
      </c>
      <c r="AQ100" s="16">
        <v>32500</v>
      </c>
      <c r="AR100" s="4">
        <v>2</v>
      </c>
      <c r="AS100" s="4"/>
      <c r="AT100" s="16"/>
      <c r="AU100" s="4">
        <v>0</v>
      </c>
      <c r="AV100" s="4">
        <v>0</v>
      </c>
      <c r="AW100" s="16">
        <v>0</v>
      </c>
      <c r="AX100" s="4">
        <v>0</v>
      </c>
      <c r="AY100" s="4">
        <v>416</v>
      </c>
      <c r="AZ100" s="16">
        <v>624000</v>
      </c>
      <c r="BA100" s="4">
        <v>2</v>
      </c>
      <c r="BB100" s="4">
        <v>0</v>
      </c>
      <c r="BC100" s="16">
        <v>0</v>
      </c>
      <c r="BD100" s="4">
        <v>0</v>
      </c>
      <c r="BE100" s="4"/>
      <c r="BF100" s="4">
        <f t="shared" si="59"/>
        <v>3</v>
      </c>
      <c r="BG100" s="16">
        <f t="shared" si="60"/>
        <v>7500</v>
      </c>
      <c r="BH100" s="4">
        <f t="shared" si="61"/>
        <v>3</v>
      </c>
      <c r="BI100" s="4">
        <f t="shared" si="62"/>
        <v>5.7</v>
      </c>
      <c r="BJ100" s="16">
        <f t="shared" si="63"/>
        <v>28500</v>
      </c>
      <c r="BK100" s="4">
        <f t="shared" si="64"/>
        <v>3</v>
      </c>
      <c r="BL100" s="4">
        <f t="shared" si="65"/>
        <v>0</v>
      </c>
      <c r="BM100" s="16">
        <f t="shared" si="66"/>
        <v>0</v>
      </c>
      <c r="BN100" s="4">
        <f t="shared" si="67"/>
        <v>0</v>
      </c>
      <c r="BO100" s="4">
        <f t="shared" si="68"/>
        <v>0</v>
      </c>
      <c r="BP100" s="16">
        <f t="shared" si="69"/>
        <v>0</v>
      </c>
      <c r="BQ100" s="4">
        <f t="shared" si="70"/>
        <v>0</v>
      </c>
      <c r="BR100" s="4">
        <f t="shared" si="71"/>
        <v>0</v>
      </c>
      <c r="BS100" s="16">
        <f t="shared" si="72"/>
        <v>0</v>
      </c>
      <c r="BT100" s="4">
        <f t="shared" si="73"/>
        <v>0</v>
      </c>
      <c r="BU100" s="4">
        <f t="shared" si="52"/>
        <v>8.6999999999999993</v>
      </c>
      <c r="BV100" s="16">
        <f t="shared" si="53"/>
        <v>36000</v>
      </c>
      <c r="BW100" s="4">
        <f t="shared" si="54"/>
        <v>6</v>
      </c>
    </row>
    <row r="101" spans="1:75" x14ac:dyDescent="0.25">
      <c r="A101" s="2" t="s">
        <v>135</v>
      </c>
      <c r="B101" s="4">
        <v>2020</v>
      </c>
      <c r="C101" s="4">
        <v>25</v>
      </c>
      <c r="D101" s="4" t="str">
        <f t="shared" si="55"/>
        <v>$50,000.00</v>
      </c>
      <c r="E101" s="16">
        <v>50000</v>
      </c>
      <c r="F101" s="4">
        <v>3</v>
      </c>
      <c r="G101" s="4">
        <v>15</v>
      </c>
      <c r="H101" s="4" t="str">
        <f t="shared" si="56"/>
        <v>$75,000.00</v>
      </c>
      <c r="I101" s="16">
        <v>75000</v>
      </c>
      <c r="J101" s="4">
        <v>1</v>
      </c>
      <c r="K101" s="4">
        <v>1</v>
      </c>
      <c r="L101" s="4" t="str">
        <f t="shared" si="57"/>
        <v>$1,500.00</v>
      </c>
      <c r="M101" s="16">
        <v>1500</v>
      </c>
      <c r="N101" s="4">
        <v>1</v>
      </c>
      <c r="O101" s="4">
        <v>261.33000000000004</v>
      </c>
      <c r="P101" s="4" t="str">
        <f t="shared" si="58"/>
        <v>$391,995.00</v>
      </c>
      <c r="Q101" s="16">
        <v>391995.00000000006</v>
      </c>
      <c r="R101" s="4">
        <v>2</v>
      </c>
      <c r="S101" s="4">
        <v>0</v>
      </c>
      <c r="T101" s="16">
        <v>0</v>
      </c>
      <c r="U101" s="4">
        <v>0</v>
      </c>
      <c r="V101" s="4" t="s">
        <v>136</v>
      </c>
      <c r="W101" s="4">
        <v>2021</v>
      </c>
      <c r="X101" s="4">
        <v>5</v>
      </c>
      <c r="Y101" s="16">
        <v>12500</v>
      </c>
      <c r="Z101" s="4">
        <v>1</v>
      </c>
      <c r="AA101" s="4">
        <v>0</v>
      </c>
      <c r="AB101" s="16">
        <v>0</v>
      </c>
      <c r="AC101" s="4">
        <v>0</v>
      </c>
      <c r="AD101" s="4">
        <v>89</v>
      </c>
      <c r="AE101" s="16">
        <v>133500</v>
      </c>
      <c r="AF101" s="4">
        <v>18</v>
      </c>
      <c r="AG101" s="4">
        <v>602.05999999999995</v>
      </c>
      <c r="AH101" s="16">
        <v>903089.99999999988</v>
      </c>
      <c r="AI101" s="4">
        <v>4</v>
      </c>
      <c r="AJ101" s="4">
        <v>0</v>
      </c>
      <c r="AK101" s="16">
        <v>0</v>
      </c>
      <c r="AL101" s="28">
        <v>0</v>
      </c>
      <c r="AM101" s="4"/>
      <c r="AN101" s="2" t="s">
        <v>87</v>
      </c>
      <c r="AO101" s="4">
        <v>2022</v>
      </c>
      <c r="AP101" s="4">
        <v>0</v>
      </c>
      <c r="AQ101" s="16">
        <v>0</v>
      </c>
      <c r="AR101" s="4">
        <v>0</v>
      </c>
      <c r="AS101" s="4"/>
      <c r="AT101" s="16"/>
      <c r="AU101" s="4">
        <v>0</v>
      </c>
      <c r="AV101" s="4">
        <v>0</v>
      </c>
      <c r="AW101" s="16">
        <v>0</v>
      </c>
      <c r="AX101" s="4">
        <v>0</v>
      </c>
      <c r="AY101" s="4">
        <v>0</v>
      </c>
      <c r="AZ101" s="16">
        <v>0</v>
      </c>
      <c r="BA101" s="4">
        <v>0</v>
      </c>
      <c r="BB101" s="4">
        <v>0</v>
      </c>
      <c r="BC101" s="16">
        <v>0</v>
      </c>
      <c r="BD101" s="4">
        <v>0</v>
      </c>
      <c r="BE101" s="4"/>
      <c r="BF101" s="4">
        <f t="shared" si="59"/>
        <v>5</v>
      </c>
      <c r="BG101" s="16">
        <f t="shared" si="60"/>
        <v>12500</v>
      </c>
      <c r="BH101" s="4">
        <f t="shared" si="61"/>
        <v>1</v>
      </c>
      <c r="BI101" s="4">
        <f t="shared" si="62"/>
        <v>12.5</v>
      </c>
      <c r="BJ101" s="16">
        <f t="shared" si="63"/>
        <v>62500</v>
      </c>
      <c r="BK101" s="4">
        <f t="shared" si="64"/>
        <v>1</v>
      </c>
      <c r="BL101" s="4">
        <f t="shared" si="65"/>
        <v>257</v>
      </c>
      <c r="BM101" s="16">
        <f t="shared" si="66"/>
        <v>385500</v>
      </c>
      <c r="BN101" s="4">
        <f t="shared" si="67"/>
        <v>56</v>
      </c>
      <c r="BO101" s="4">
        <f t="shared" si="68"/>
        <v>1833.12</v>
      </c>
      <c r="BP101" s="16">
        <f t="shared" si="69"/>
        <v>2749680</v>
      </c>
      <c r="BQ101" s="4">
        <f t="shared" si="70"/>
        <v>11</v>
      </c>
      <c r="BR101" s="4">
        <f t="shared" si="71"/>
        <v>3</v>
      </c>
      <c r="BS101" s="16">
        <f t="shared" si="72"/>
        <v>214285.71999999997</v>
      </c>
      <c r="BT101" s="4">
        <f t="shared" si="73"/>
        <v>3</v>
      </c>
      <c r="BU101" s="4">
        <f t="shared" si="52"/>
        <v>2107.62</v>
      </c>
      <c r="BV101" s="16">
        <f t="shared" si="53"/>
        <v>3424465.7199999997</v>
      </c>
      <c r="BW101" s="4">
        <f t="shared" si="54"/>
        <v>72</v>
      </c>
    </row>
    <row r="102" spans="1:75" x14ac:dyDescent="0.25">
      <c r="A102" s="2" t="s">
        <v>87</v>
      </c>
      <c r="B102" s="4">
        <v>2020</v>
      </c>
      <c r="C102" s="4">
        <v>0</v>
      </c>
      <c r="D102" s="4" t="str">
        <f t="shared" si="55"/>
        <v>$0.00</v>
      </c>
      <c r="E102" s="16">
        <v>0</v>
      </c>
      <c r="F102" s="4">
        <v>0</v>
      </c>
      <c r="G102" s="4">
        <v>0</v>
      </c>
      <c r="H102" s="4" t="str">
        <f t="shared" si="56"/>
        <v>$0.00</v>
      </c>
      <c r="I102" s="16">
        <v>0</v>
      </c>
      <c r="J102" s="4">
        <v>0</v>
      </c>
      <c r="K102" s="4">
        <v>0</v>
      </c>
      <c r="L102" s="4" t="str">
        <f t="shared" si="57"/>
        <v>$0.00</v>
      </c>
      <c r="M102" s="16">
        <v>0</v>
      </c>
      <c r="N102" s="4">
        <v>0</v>
      </c>
      <c r="O102" s="4">
        <v>0</v>
      </c>
      <c r="P102" s="4" t="str">
        <f t="shared" si="58"/>
        <v>$0.00</v>
      </c>
      <c r="Q102" s="16">
        <v>0</v>
      </c>
      <c r="R102" s="4">
        <v>0</v>
      </c>
      <c r="S102" s="4">
        <v>0</v>
      </c>
      <c r="T102" s="16">
        <v>0</v>
      </c>
      <c r="U102" s="4">
        <v>0</v>
      </c>
      <c r="V102" s="4" t="s">
        <v>88</v>
      </c>
      <c r="W102" s="4">
        <v>2021</v>
      </c>
      <c r="X102" s="4">
        <v>0</v>
      </c>
      <c r="Y102" s="16">
        <v>0</v>
      </c>
      <c r="Z102" s="4">
        <v>0</v>
      </c>
      <c r="AA102" s="4">
        <v>0</v>
      </c>
      <c r="AB102" s="16">
        <v>0</v>
      </c>
      <c r="AC102" s="4">
        <v>0</v>
      </c>
      <c r="AD102" s="4">
        <v>0</v>
      </c>
      <c r="AE102" s="16">
        <v>0</v>
      </c>
      <c r="AF102" s="4">
        <v>0</v>
      </c>
      <c r="AG102" s="4">
        <v>58</v>
      </c>
      <c r="AH102" s="16">
        <v>87000</v>
      </c>
      <c r="AI102" s="4">
        <v>1</v>
      </c>
      <c r="AJ102" s="4">
        <v>0</v>
      </c>
      <c r="AK102" s="16">
        <v>0</v>
      </c>
      <c r="AL102" s="28">
        <v>0</v>
      </c>
      <c r="AM102" s="4"/>
      <c r="AN102" s="2" t="s">
        <v>136</v>
      </c>
      <c r="AO102" s="4">
        <v>2022</v>
      </c>
      <c r="AP102" s="4">
        <v>0</v>
      </c>
      <c r="AQ102" s="16">
        <v>0</v>
      </c>
      <c r="AR102" s="4">
        <v>0</v>
      </c>
      <c r="AS102" s="4"/>
      <c r="AT102" s="16"/>
      <c r="AU102" s="4">
        <v>0</v>
      </c>
      <c r="AV102" s="4">
        <v>74</v>
      </c>
      <c r="AW102" s="16">
        <v>111000</v>
      </c>
      <c r="AX102" s="4">
        <v>17</v>
      </c>
      <c r="AY102" s="4">
        <v>631.05999999999995</v>
      </c>
      <c r="AZ102" s="16">
        <v>946590</v>
      </c>
      <c r="BA102" s="4">
        <v>5</v>
      </c>
      <c r="BB102" s="4">
        <v>0</v>
      </c>
      <c r="BC102" s="16">
        <v>0</v>
      </c>
      <c r="BD102" s="4">
        <v>0</v>
      </c>
      <c r="BE102" s="4"/>
      <c r="BF102" s="4">
        <f t="shared" si="59"/>
        <v>0</v>
      </c>
      <c r="BG102" s="16">
        <f t="shared" si="60"/>
        <v>0</v>
      </c>
      <c r="BH102" s="4">
        <f t="shared" si="61"/>
        <v>0</v>
      </c>
      <c r="BI102" s="4">
        <f t="shared" si="62"/>
        <v>0</v>
      </c>
      <c r="BJ102" s="16">
        <f t="shared" si="63"/>
        <v>0</v>
      </c>
      <c r="BK102" s="4">
        <f t="shared" si="64"/>
        <v>0</v>
      </c>
      <c r="BL102" s="4">
        <f t="shared" si="65"/>
        <v>0</v>
      </c>
      <c r="BM102" s="16">
        <f t="shared" si="66"/>
        <v>0</v>
      </c>
      <c r="BN102" s="4">
        <f t="shared" si="67"/>
        <v>0</v>
      </c>
      <c r="BO102" s="4">
        <f t="shared" si="68"/>
        <v>174</v>
      </c>
      <c r="BP102" s="16">
        <f t="shared" si="69"/>
        <v>261000</v>
      </c>
      <c r="BQ102" s="4">
        <f t="shared" si="70"/>
        <v>3</v>
      </c>
      <c r="BR102" s="4">
        <f t="shared" si="71"/>
        <v>0</v>
      </c>
      <c r="BS102" s="16">
        <f t="shared" si="72"/>
        <v>0</v>
      </c>
      <c r="BT102" s="4">
        <f t="shared" si="73"/>
        <v>0</v>
      </c>
      <c r="BU102" s="4">
        <f t="shared" si="52"/>
        <v>174</v>
      </c>
      <c r="BV102" s="16">
        <f t="shared" si="53"/>
        <v>261000</v>
      </c>
      <c r="BW102" s="4">
        <f t="shared" si="54"/>
        <v>3</v>
      </c>
    </row>
    <row r="103" spans="1:75" x14ac:dyDescent="0.25">
      <c r="A103" s="2" t="s">
        <v>136</v>
      </c>
      <c r="B103" s="4">
        <v>2020</v>
      </c>
      <c r="C103" s="4">
        <v>0</v>
      </c>
      <c r="D103" s="4" t="str">
        <f t="shared" si="55"/>
        <v>$0.00</v>
      </c>
      <c r="E103" s="16">
        <v>0</v>
      </c>
      <c r="F103" s="4">
        <v>0</v>
      </c>
      <c r="G103" s="4">
        <v>12.5</v>
      </c>
      <c r="H103" s="4" t="str">
        <f t="shared" si="56"/>
        <v>$62,500.00</v>
      </c>
      <c r="I103" s="16">
        <v>62500</v>
      </c>
      <c r="J103" s="4">
        <v>1</v>
      </c>
      <c r="K103" s="4">
        <v>94</v>
      </c>
      <c r="L103" s="4" t="str">
        <f t="shared" si="57"/>
        <v>$141,000.00</v>
      </c>
      <c r="M103" s="16">
        <v>141000</v>
      </c>
      <c r="N103" s="4">
        <v>21</v>
      </c>
      <c r="O103" s="4">
        <v>600</v>
      </c>
      <c r="P103" s="4" t="str">
        <f t="shared" si="58"/>
        <v>$900,000.00</v>
      </c>
      <c r="Q103" s="16">
        <v>900000</v>
      </c>
      <c r="R103" s="4">
        <v>2</v>
      </c>
      <c r="S103" s="4">
        <v>3</v>
      </c>
      <c r="T103" s="16">
        <v>214285.71999999997</v>
      </c>
      <c r="U103" s="4">
        <v>3</v>
      </c>
      <c r="V103" s="4" t="s">
        <v>89</v>
      </c>
      <c r="W103" s="4">
        <v>2021</v>
      </c>
      <c r="X103" s="4">
        <v>252.4</v>
      </c>
      <c r="Y103" s="16">
        <v>631000</v>
      </c>
      <c r="Z103" s="4">
        <v>6</v>
      </c>
      <c r="AA103" s="4">
        <v>34</v>
      </c>
      <c r="AB103" s="16">
        <v>170000</v>
      </c>
      <c r="AC103" s="4">
        <v>3</v>
      </c>
      <c r="AD103" s="4">
        <v>255</v>
      </c>
      <c r="AE103" s="16">
        <v>382500</v>
      </c>
      <c r="AF103" s="4">
        <v>5</v>
      </c>
      <c r="AG103" s="4">
        <v>2154.98</v>
      </c>
      <c r="AH103" s="16">
        <v>3232470</v>
      </c>
      <c r="AI103" s="4">
        <v>10</v>
      </c>
      <c r="AJ103" s="4">
        <v>1</v>
      </c>
      <c r="AK103" s="16">
        <v>20000</v>
      </c>
      <c r="AL103" s="28">
        <v>1</v>
      </c>
      <c r="AM103" s="4"/>
      <c r="AN103" s="2" t="s">
        <v>88</v>
      </c>
      <c r="AO103" s="4">
        <v>2022</v>
      </c>
      <c r="AP103" s="4">
        <v>0</v>
      </c>
      <c r="AQ103" s="16">
        <v>0</v>
      </c>
      <c r="AR103" s="4">
        <v>0</v>
      </c>
      <c r="AS103" s="4"/>
      <c r="AT103" s="16"/>
      <c r="AU103" s="4">
        <v>0</v>
      </c>
      <c r="AV103" s="4">
        <v>0</v>
      </c>
      <c r="AW103" s="16">
        <v>0</v>
      </c>
      <c r="AX103" s="4">
        <v>0</v>
      </c>
      <c r="AY103" s="4">
        <v>58</v>
      </c>
      <c r="AZ103" s="16">
        <v>87000</v>
      </c>
      <c r="BA103" s="4">
        <v>1</v>
      </c>
      <c r="BB103" s="4">
        <v>0</v>
      </c>
      <c r="BC103" s="16">
        <v>0</v>
      </c>
      <c r="BD103" s="4">
        <v>0</v>
      </c>
      <c r="BE103" s="4"/>
      <c r="BF103" s="4">
        <f t="shared" si="59"/>
        <v>628.84</v>
      </c>
      <c r="BG103" s="16">
        <f t="shared" si="60"/>
        <v>1472580</v>
      </c>
      <c r="BH103" s="4">
        <f t="shared" si="61"/>
        <v>16</v>
      </c>
      <c r="BI103" s="4">
        <f t="shared" si="62"/>
        <v>35.4</v>
      </c>
      <c r="BJ103" s="16">
        <f t="shared" si="63"/>
        <v>177000</v>
      </c>
      <c r="BK103" s="4">
        <f t="shared" si="64"/>
        <v>4</v>
      </c>
      <c r="BL103" s="4">
        <f t="shared" si="65"/>
        <v>756</v>
      </c>
      <c r="BM103" s="16">
        <f t="shared" si="66"/>
        <v>1134000</v>
      </c>
      <c r="BN103" s="4">
        <f t="shared" si="67"/>
        <v>12</v>
      </c>
      <c r="BO103" s="4">
        <f t="shared" si="68"/>
        <v>6244.2000000000007</v>
      </c>
      <c r="BP103" s="16">
        <f t="shared" si="69"/>
        <v>9366300</v>
      </c>
      <c r="BQ103" s="4">
        <f t="shared" si="70"/>
        <v>30</v>
      </c>
      <c r="BR103" s="4">
        <f t="shared" si="71"/>
        <v>11</v>
      </c>
      <c r="BS103" s="16">
        <f t="shared" si="72"/>
        <v>620000</v>
      </c>
      <c r="BT103" s="4">
        <f t="shared" si="73"/>
        <v>11</v>
      </c>
      <c r="BU103" s="4">
        <f t="shared" si="52"/>
        <v>7664.4400000000005</v>
      </c>
      <c r="BV103" s="16">
        <f t="shared" si="53"/>
        <v>12769880</v>
      </c>
      <c r="BW103" s="4">
        <f t="shared" si="54"/>
        <v>73</v>
      </c>
    </row>
    <row r="104" spans="1:75" x14ac:dyDescent="0.25">
      <c r="A104" s="2" t="s">
        <v>88</v>
      </c>
      <c r="B104" s="4">
        <v>2020</v>
      </c>
      <c r="C104" s="4">
        <v>0</v>
      </c>
      <c r="D104" s="4" t="str">
        <f t="shared" si="55"/>
        <v>$0.00</v>
      </c>
      <c r="E104" s="16">
        <v>0</v>
      </c>
      <c r="F104" s="4">
        <v>0</v>
      </c>
      <c r="G104" s="4">
        <v>0</v>
      </c>
      <c r="H104" s="4" t="str">
        <f t="shared" si="56"/>
        <v>$0.00</v>
      </c>
      <c r="I104" s="16">
        <v>0</v>
      </c>
      <c r="J104" s="4">
        <v>0</v>
      </c>
      <c r="K104" s="4">
        <v>0</v>
      </c>
      <c r="L104" s="4" t="str">
        <f t="shared" si="57"/>
        <v>$0.00</v>
      </c>
      <c r="M104" s="16">
        <v>0</v>
      </c>
      <c r="N104" s="4">
        <v>0</v>
      </c>
      <c r="O104" s="4">
        <v>58</v>
      </c>
      <c r="P104" s="4" t="str">
        <f t="shared" si="58"/>
        <v>$87,000.00</v>
      </c>
      <c r="Q104" s="16">
        <v>87000</v>
      </c>
      <c r="R104" s="4">
        <v>1</v>
      </c>
      <c r="S104" s="4">
        <v>0</v>
      </c>
      <c r="T104" s="16">
        <v>0</v>
      </c>
      <c r="U104" s="4">
        <v>0</v>
      </c>
      <c r="V104" s="4" t="s">
        <v>90</v>
      </c>
      <c r="W104" s="4">
        <v>2021</v>
      </c>
      <c r="X104" s="4">
        <v>0</v>
      </c>
      <c r="Y104" s="16">
        <v>0</v>
      </c>
      <c r="Z104" s="4">
        <v>0</v>
      </c>
      <c r="AA104" s="4">
        <v>0</v>
      </c>
      <c r="AB104" s="16">
        <v>0</v>
      </c>
      <c r="AC104" s="4">
        <v>0</v>
      </c>
      <c r="AD104" s="4">
        <v>0</v>
      </c>
      <c r="AE104" s="16">
        <v>0</v>
      </c>
      <c r="AF104" s="4">
        <v>0</v>
      </c>
      <c r="AG104" s="4">
        <v>0</v>
      </c>
      <c r="AH104" s="16">
        <v>0</v>
      </c>
      <c r="AI104" s="4">
        <v>0</v>
      </c>
      <c r="AJ104" s="4">
        <v>0</v>
      </c>
      <c r="AK104" s="16">
        <v>0</v>
      </c>
      <c r="AL104" s="28">
        <v>0</v>
      </c>
      <c r="AM104" s="4"/>
      <c r="AN104" s="2" t="s">
        <v>89</v>
      </c>
      <c r="AO104" s="4">
        <v>2022</v>
      </c>
      <c r="AP104" s="4">
        <v>177.4</v>
      </c>
      <c r="AQ104" s="16">
        <v>443500</v>
      </c>
      <c r="AR104" s="4">
        <v>4</v>
      </c>
      <c r="AS104" s="4"/>
      <c r="AT104" s="16"/>
      <c r="AU104" s="4">
        <v>0</v>
      </c>
      <c r="AV104" s="4">
        <v>223</v>
      </c>
      <c r="AW104" s="16">
        <v>334500</v>
      </c>
      <c r="AX104" s="4">
        <v>3</v>
      </c>
      <c r="AY104" s="4">
        <v>2439.98</v>
      </c>
      <c r="AZ104" s="16">
        <v>3659970</v>
      </c>
      <c r="BA104" s="4">
        <v>12</v>
      </c>
      <c r="BB104" s="4">
        <v>3</v>
      </c>
      <c r="BC104" s="16">
        <v>140000</v>
      </c>
      <c r="BD104" s="4">
        <v>3</v>
      </c>
      <c r="BE104" s="4"/>
      <c r="BF104" s="4">
        <f t="shared" si="59"/>
        <v>0</v>
      </c>
      <c r="BG104" s="16">
        <f t="shared" si="60"/>
        <v>0</v>
      </c>
      <c r="BH104" s="4">
        <f t="shared" si="61"/>
        <v>0</v>
      </c>
      <c r="BI104" s="4">
        <f t="shared" si="62"/>
        <v>0</v>
      </c>
      <c r="BJ104" s="16">
        <f t="shared" si="63"/>
        <v>0</v>
      </c>
      <c r="BK104" s="4">
        <f t="shared" si="64"/>
        <v>0</v>
      </c>
      <c r="BL104" s="4">
        <f t="shared" si="65"/>
        <v>0</v>
      </c>
      <c r="BM104" s="16">
        <f t="shared" si="66"/>
        <v>0</v>
      </c>
      <c r="BN104" s="4">
        <f t="shared" si="67"/>
        <v>0</v>
      </c>
      <c r="BO104" s="4">
        <f t="shared" si="68"/>
        <v>0</v>
      </c>
      <c r="BP104" s="16">
        <f t="shared" si="69"/>
        <v>0</v>
      </c>
      <c r="BQ104" s="4">
        <f t="shared" si="70"/>
        <v>0</v>
      </c>
      <c r="BR104" s="4">
        <f t="shared" si="71"/>
        <v>0</v>
      </c>
      <c r="BS104" s="16">
        <f t="shared" si="72"/>
        <v>0</v>
      </c>
      <c r="BT104" s="4">
        <f t="shared" si="73"/>
        <v>0</v>
      </c>
      <c r="BU104" s="4">
        <f t="shared" si="52"/>
        <v>0</v>
      </c>
      <c r="BV104" s="16">
        <f t="shared" si="53"/>
        <v>0</v>
      </c>
      <c r="BW104" s="4">
        <f t="shared" si="54"/>
        <v>0</v>
      </c>
    </row>
    <row r="105" spans="1:75" x14ac:dyDescent="0.25">
      <c r="A105" s="2" t="s">
        <v>89</v>
      </c>
      <c r="B105" s="4">
        <v>2020</v>
      </c>
      <c r="C105" s="4">
        <v>199.04</v>
      </c>
      <c r="D105" s="4" t="str">
        <f t="shared" si="55"/>
        <v>$398,080.00</v>
      </c>
      <c r="E105" s="16">
        <v>398080</v>
      </c>
      <c r="F105" s="4">
        <v>6</v>
      </c>
      <c r="G105" s="4">
        <v>1.4</v>
      </c>
      <c r="H105" s="4" t="str">
        <f t="shared" si="56"/>
        <v>$7,000.00</v>
      </c>
      <c r="I105" s="16">
        <v>7000</v>
      </c>
      <c r="J105" s="4">
        <v>1</v>
      </c>
      <c r="K105" s="4">
        <v>278</v>
      </c>
      <c r="L105" s="4" t="str">
        <f t="shared" si="57"/>
        <v>$417,000.00</v>
      </c>
      <c r="M105" s="16">
        <v>417000</v>
      </c>
      <c r="N105" s="4">
        <v>4</v>
      </c>
      <c r="O105" s="4">
        <v>1649.24</v>
      </c>
      <c r="P105" s="4" t="str">
        <f t="shared" si="58"/>
        <v>$2,473,860.00</v>
      </c>
      <c r="Q105" s="16">
        <v>2473860</v>
      </c>
      <c r="R105" s="4">
        <v>8</v>
      </c>
      <c r="S105" s="4">
        <v>7</v>
      </c>
      <c r="T105" s="16">
        <v>460000</v>
      </c>
      <c r="U105" s="4">
        <v>7</v>
      </c>
      <c r="V105" s="4" t="s">
        <v>91</v>
      </c>
      <c r="W105" s="4">
        <v>2021</v>
      </c>
      <c r="X105" s="4">
        <v>0</v>
      </c>
      <c r="Y105" s="16">
        <v>0</v>
      </c>
      <c r="Z105" s="4">
        <v>0</v>
      </c>
      <c r="AA105" s="4">
        <v>4.4800000000000004</v>
      </c>
      <c r="AB105" s="16">
        <v>12400</v>
      </c>
      <c r="AC105" s="4">
        <v>2</v>
      </c>
      <c r="AD105" s="4">
        <v>55</v>
      </c>
      <c r="AE105" s="16">
        <v>82500</v>
      </c>
      <c r="AF105" s="4">
        <v>7</v>
      </c>
      <c r="AG105" s="4">
        <v>0</v>
      </c>
      <c r="AH105" s="16">
        <v>0</v>
      </c>
      <c r="AI105" s="4">
        <v>0</v>
      </c>
      <c r="AJ105" s="4">
        <v>0</v>
      </c>
      <c r="AK105" s="16">
        <v>0</v>
      </c>
      <c r="AL105" s="28">
        <v>0</v>
      </c>
      <c r="AM105" s="4"/>
      <c r="AN105" s="2" t="s">
        <v>90</v>
      </c>
      <c r="AO105" s="4">
        <v>2022</v>
      </c>
      <c r="AP105" s="4">
        <v>0</v>
      </c>
      <c r="AQ105" s="16">
        <v>0</v>
      </c>
      <c r="AR105" s="4">
        <v>0</v>
      </c>
      <c r="AS105" s="4"/>
      <c r="AT105" s="16"/>
      <c r="AU105" s="4">
        <v>0</v>
      </c>
      <c r="AV105" s="4">
        <v>0</v>
      </c>
      <c r="AW105" s="16">
        <v>0</v>
      </c>
      <c r="AX105" s="4">
        <v>0</v>
      </c>
      <c r="AY105" s="4">
        <v>0</v>
      </c>
      <c r="AZ105" s="16">
        <v>0</v>
      </c>
      <c r="BA105" s="4">
        <v>0</v>
      </c>
      <c r="BB105" s="4">
        <v>0</v>
      </c>
      <c r="BC105" s="16">
        <v>0</v>
      </c>
      <c r="BD105" s="4">
        <v>0</v>
      </c>
      <c r="BE105" s="4"/>
      <c r="BF105" s="4">
        <f t="shared" si="59"/>
        <v>17.2</v>
      </c>
      <c r="BG105" s="16">
        <f t="shared" si="60"/>
        <v>34400</v>
      </c>
      <c r="BH105" s="4">
        <f t="shared" si="61"/>
        <v>3</v>
      </c>
      <c r="BI105" s="4">
        <f t="shared" si="62"/>
        <v>6.78</v>
      </c>
      <c r="BJ105" s="16">
        <f t="shared" si="63"/>
        <v>23900</v>
      </c>
      <c r="BK105" s="4">
        <f t="shared" si="64"/>
        <v>3</v>
      </c>
      <c r="BL105" s="4">
        <f t="shared" si="65"/>
        <v>161</v>
      </c>
      <c r="BM105" s="16">
        <f t="shared" si="66"/>
        <v>241500</v>
      </c>
      <c r="BN105" s="4">
        <f t="shared" si="67"/>
        <v>18</v>
      </c>
      <c r="BO105" s="4">
        <f t="shared" si="68"/>
        <v>169.82</v>
      </c>
      <c r="BP105" s="16">
        <f t="shared" si="69"/>
        <v>254730</v>
      </c>
      <c r="BQ105" s="4">
        <f t="shared" si="70"/>
        <v>1</v>
      </c>
      <c r="BR105" s="4">
        <f t="shared" si="71"/>
        <v>0</v>
      </c>
      <c r="BS105" s="16">
        <f t="shared" si="72"/>
        <v>0</v>
      </c>
      <c r="BT105" s="4">
        <f t="shared" si="73"/>
        <v>0</v>
      </c>
      <c r="BU105" s="4">
        <f t="shared" si="52"/>
        <v>354.79999999999995</v>
      </c>
      <c r="BV105" s="16">
        <f t="shared" si="53"/>
        <v>554530</v>
      </c>
      <c r="BW105" s="4">
        <f t="shared" si="54"/>
        <v>25</v>
      </c>
    </row>
    <row r="106" spans="1:75" x14ac:dyDescent="0.25">
      <c r="A106" s="2" t="s">
        <v>90</v>
      </c>
      <c r="B106" s="4">
        <v>2020</v>
      </c>
      <c r="C106" s="4">
        <v>0</v>
      </c>
      <c r="D106" s="4" t="str">
        <f t="shared" si="55"/>
        <v>$0.00</v>
      </c>
      <c r="E106" s="16">
        <v>0</v>
      </c>
      <c r="F106" s="4">
        <v>0</v>
      </c>
      <c r="G106" s="4">
        <v>0</v>
      </c>
      <c r="H106" s="4" t="str">
        <f t="shared" si="56"/>
        <v>$0.00</v>
      </c>
      <c r="I106" s="16">
        <v>0</v>
      </c>
      <c r="J106" s="4">
        <v>0</v>
      </c>
      <c r="K106" s="4">
        <v>0</v>
      </c>
      <c r="L106" s="4" t="str">
        <f t="shared" si="57"/>
        <v>$0.00</v>
      </c>
      <c r="M106" s="16">
        <v>0</v>
      </c>
      <c r="N106" s="4">
        <v>0</v>
      </c>
      <c r="O106" s="4">
        <v>0</v>
      </c>
      <c r="P106" s="4" t="str">
        <f t="shared" si="58"/>
        <v>$0.00</v>
      </c>
      <c r="Q106" s="16">
        <v>0</v>
      </c>
      <c r="R106" s="4">
        <v>0</v>
      </c>
      <c r="S106" s="4">
        <v>0</v>
      </c>
      <c r="T106" s="16">
        <v>0</v>
      </c>
      <c r="U106" s="4">
        <v>0</v>
      </c>
      <c r="V106" s="4" t="s">
        <v>92</v>
      </c>
      <c r="W106" s="4">
        <v>2021</v>
      </c>
      <c r="X106" s="4">
        <v>0</v>
      </c>
      <c r="Y106" s="16">
        <v>0</v>
      </c>
      <c r="Z106" s="4">
        <v>0</v>
      </c>
      <c r="AA106" s="4">
        <v>0</v>
      </c>
      <c r="AB106" s="16">
        <v>0</v>
      </c>
      <c r="AC106" s="4">
        <v>0</v>
      </c>
      <c r="AD106" s="4">
        <v>0</v>
      </c>
      <c r="AE106" s="16">
        <v>0</v>
      </c>
      <c r="AF106" s="4">
        <v>0</v>
      </c>
      <c r="AG106" s="4">
        <v>441</v>
      </c>
      <c r="AH106" s="16">
        <v>661500</v>
      </c>
      <c r="AI106" s="4">
        <v>3</v>
      </c>
      <c r="AJ106" s="4">
        <v>0</v>
      </c>
      <c r="AK106" s="16">
        <v>0</v>
      </c>
      <c r="AL106" s="28">
        <v>0</v>
      </c>
      <c r="AM106" s="4"/>
      <c r="AN106" s="2" t="s">
        <v>91</v>
      </c>
      <c r="AO106" s="4">
        <v>2022</v>
      </c>
      <c r="AP106" s="4">
        <v>0</v>
      </c>
      <c r="AQ106" s="16">
        <v>0</v>
      </c>
      <c r="AR106" s="4">
        <v>0</v>
      </c>
      <c r="AS106" s="4"/>
      <c r="AT106" s="16"/>
      <c r="AU106" s="4">
        <v>0</v>
      </c>
      <c r="AV106" s="4">
        <v>13</v>
      </c>
      <c r="AW106" s="16">
        <v>19500</v>
      </c>
      <c r="AX106" s="4">
        <v>5</v>
      </c>
      <c r="AY106" s="4">
        <v>0</v>
      </c>
      <c r="AZ106" s="16">
        <v>0</v>
      </c>
      <c r="BA106" s="4">
        <v>0</v>
      </c>
      <c r="BB106" s="4">
        <v>0</v>
      </c>
      <c r="BC106" s="16">
        <v>0</v>
      </c>
      <c r="BD106" s="4">
        <v>0</v>
      </c>
      <c r="BE106" s="4"/>
      <c r="BF106" s="4">
        <f t="shared" si="59"/>
        <v>22.12</v>
      </c>
      <c r="BG106" s="16">
        <f t="shared" si="60"/>
        <v>55300</v>
      </c>
      <c r="BH106" s="4">
        <f t="shared" si="61"/>
        <v>2</v>
      </c>
      <c r="BI106" s="4">
        <f t="shared" si="62"/>
        <v>0</v>
      </c>
      <c r="BJ106" s="16">
        <f t="shared" si="63"/>
        <v>0</v>
      </c>
      <c r="BK106" s="4">
        <f t="shared" si="64"/>
        <v>0</v>
      </c>
      <c r="BL106" s="4">
        <f t="shared" si="65"/>
        <v>25</v>
      </c>
      <c r="BM106" s="16">
        <f t="shared" si="66"/>
        <v>37500</v>
      </c>
      <c r="BN106" s="4">
        <f t="shared" si="67"/>
        <v>2</v>
      </c>
      <c r="BO106" s="4">
        <f t="shared" si="68"/>
        <v>1455</v>
      </c>
      <c r="BP106" s="16">
        <f t="shared" si="69"/>
        <v>2182500</v>
      </c>
      <c r="BQ106" s="4">
        <f t="shared" si="70"/>
        <v>11</v>
      </c>
      <c r="BR106" s="4">
        <f t="shared" si="71"/>
        <v>3</v>
      </c>
      <c r="BS106" s="16">
        <f t="shared" si="72"/>
        <v>252500</v>
      </c>
      <c r="BT106" s="4">
        <f t="shared" si="73"/>
        <v>3</v>
      </c>
      <c r="BU106" s="4">
        <f t="shared" si="52"/>
        <v>1502.12</v>
      </c>
      <c r="BV106" s="16">
        <f t="shared" si="53"/>
        <v>2527800</v>
      </c>
      <c r="BW106" s="4">
        <f t="shared" si="54"/>
        <v>18</v>
      </c>
    </row>
    <row r="107" spans="1:75" x14ac:dyDescent="0.25">
      <c r="A107" s="2" t="s">
        <v>91</v>
      </c>
      <c r="B107" s="4">
        <v>2020</v>
      </c>
      <c r="C107" s="4">
        <v>17.2</v>
      </c>
      <c r="D107" s="4" t="str">
        <f t="shared" si="55"/>
        <v>$34,400.00</v>
      </c>
      <c r="E107" s="16">
        <v>34400</v>
      </c>
      <c r="F107" s="4">
        <v>3</v>
      </c>
      <c r="G107" s="4">
        <v>2.2999999999999998</v>
      </c>
      <c r="H107" s="4" t="str">
        <f t="shared" si="56"/>
        <v>$11,500.00</v>
      </c>
      <c r="I107" s="16">
        <v>11500</v>
      </c>
      <c r="J107" s="4">
        <v>1</v>
      </c>
      <c r="K107" s="4">
        <v>93</v>
      </c>
      <c r="L107" s="4" t="str">
        <f t="shared" si="57"/>
        <v>$139,500.00</v>
      </c>
      <c r="M107" s="16">
        <v>139500</v>
      </c>
      <c r="N107" s="4">
        <v>6</v>
      </c>
      <c r="O107" s="4">
        <v>169.82</v>
      </c>
      <c r="P107" s="4" t="str">
        <f t="shared" si="58"/>
        <v>$254,730.00</v>
      </c>
      <c r="Q107" s="16">
        <v>254730</v>
      </c>
      <c r="R107" s="4">
        <v>1</v>
      </c>
      <c r="S107" s="4">
        <v>0</v>
      </c>
      <c r="T107" s="16">
        <v>0</v>
      </c>
      <c r="U107" s="4">
        <v>0</v>
      </c>
      <c r="V107" s="4" t="s">
        <v>93</v>
      </c>
      <c r="W107" s="4">
        <v>2021</v>
      </c>
      <c r="X107" s="4">
        <v>200</v>
      </c>
      <c r="Y107" s="16">
        <v>500000</v>
      </c>
      <c r="Z107" s="4">
        <v>1</v>
      </c>
      <c r="AA107" s="4">
        <v>5.6</v>
      </c>
      <c r="AB107" s="16">
        <v>28000</v>
      </c>
      <c r="AC107" s="4">
        <v>1</v>
      </c>
      <c r="AD107" s="4">
        <v>31</v>
      </c>
      <c r="AE107" s="16">
        <v>46500</v>
      </c>
      <c r="AF107" s="4">
        <v>2</v>
      </c>
      <c r="AG107" s="4">
        <v>638</v>
      </c>
      <c r="AH107" s="16">
        <v>957000</v>
      </c>
      <c r="AI107" s="4">
        <v>3</v>
      </c>
      <c r="AJ107" s="4">
        <v>1</v>
      </c>
      <c r="AK107" s="16">
        <v>30000</v>
      </c>
      <c r="AL107" s="28">
        <v>1</v>
      </c>
      <c r="AM107" s="4"/>
      <c r="AN107" s="2" t="s">
        <v>92</v>
      </c>
      <c r="AO107" s="4">
        <v>2022</v>
      </c>
      <c r="AP107" s="4">
        <v>22.12</v>
      </c>
      <c r="AQ107" s="16">
        <v>55300</v>
      </c>
      <c r="AR107" s="4">
        <v>2</v>
      </c>
      <c r="AS107" s="4"/>
      <c r="AT107" s="16"/>
      <c r="AU107" s="4">
        <v>0</v>
      </c>
      <c r="AV107" s="4">
        <v>15</v>
      </c>
      <c r="AW107" s="16">
        <v>22500</v>
      </c>
      <c r="AX107" s="4">
        <v>1</v>
      </c>
      <c r="AY107" s="4">
        <v>573</v>
      </c>
      <c r="AZ107" s="16">
        <v>859500</v>
      </c>
      <c r="BA107" s="4">
        <v>5</v>
      </c>
      <c r="BB107" s="4">
        <v>2</v>
      </c>
      <c r="BC107" s="16">
        <v>185000</v>
      </c>
      <c r="BD107" s="4">
        <v>2</v>
      </c>
      <c r="BE107" s="4"/>
      <c r="BF107" s="4">
        <f t="shared" si="59"/>
        <v>728</v>
      </c>
      <c r="BG107" s="16">
        <f t="shared" si="60"/>
        <v>1660000</v>
      </c>
      <c r="BH107" s="4">
        <f t="shared" si="61"/>
        <v>7</v>
      </c>
      <c r="BI107" s="4">
        <f t="shared" si="62"/>
        <v>5.6</v>
      </c>
      <c r="BJ107" s="16">
        <f t="shared" si="63"/>
        <v>28000</v>
      </c>
      <c r="BK107" s="4">
        <f t="shared" si="64"/>
        <v>1</v>
      </c>
      <c r="BL107" s="4">
        <f t="shared" si="65"/>
        <v>64</v>
      </c>
      <c r="BM107" s="16">
        <f t="shared" si="66"/>
        <v>96000</v>
      </c>
      <c r="BN107" s="4">
        <f t="shared" si="67"/>
        <v>5</v>
      </c>
      <c r="BO107" s="4">
        <f t="shared" si="68"/>
        <v>2051</v>
      </c>
      <c r="BP107" s="16">
        <f t="shared" si="69"/>
        <v>3076500</v>
      </c>
      <c r="BQ107" s="4">
        <f t="shared" si="70"/>
        <v>7</v>
      </c>
      <c r="BR107" s="4">
        <f t="shared" si="71"/>
        <v>3</v>
      </c>
      <c r="BS107" s="16">
        <f t="shared" si="72"/>
        <v>207142.86</v>
      </c>
      <c r="BT107" s="4">
        <f t="shared" si="73"/>
        <v>3</v>
      </c>
      <c r="BU107" s="4">
        <f t="shared" si="52"/>
        <v>2848.6</v>
      </c>
      <c r="BV107" s="16">
        <f t="shared" si="53"/>
        <v>5067642.8600000003</v>
      </c>
      <c r="BW107" s="4">
        <f t="shared" si="54"/>
        <v>23</v>
      </c>
    </row>
    <row r="108" spans="1:75" x14ac:dyDescent="0.25">
      <c r="A108" s="2" t="s">
        <v>92</v>
      </c>
      <c r="B108" s="4">
        <v>2020</v>
      </c>
      <c r="C108" s="4">
        <v>0</v>
      </c>
      <c r="D108" s="4" t="str">
        <f t="shared" si="55"/>
        <v>$0.00</v>
      </c>
      <c r="E108" s="16">
        <v>0</v>
      </c>
      <c r="F108" s="4">
        <v>0</v>
      </c>
      <c r="G108" s="4">
        <v>0</v>
      </c>
      <c r="H108" s="4" t="str">
        <f t="shared" si="56"/>
        <v>$0.00</v>
      </c>
      <c r="I108" s="16">
        <v>0</v>
      </c>
      <c r="J108" s="4">
        <v>0</v>
      </c>
      <c r="K108" s="4">
        <v>10</v>
      </c>
      <c r="L108" s="4" t="str">
        <f t="shared" si="57"/>
        <v>$15,000.00</v>
      </c>
      <c r="M108" s="16">
        <v>15000</v>
      </c>
      <c r="N108" s="4">
        <v>1</v>
      </c>
      <c r="O108" s="4">
        <v>441</v>
      </c>
      <c r="P108" s="4" t="str">
        <f t="shared" si="58"/>
        <v>$661,500.00</v>
      </c>
      <c r="Q108" s="16">
        <v>661500</v>
      </c>
      <c r="R108" s="4">
        <v>3</v>
      </c>
      <c r="S108" s="4">
        <v>1</v>
      </c>
      <c r="T108" s="16">
        <v>67500</v>
      </c>
      <c r="U108" s="4">
        <v>1</v>
      </c>
      <c r="V108" s="4" t="s">
        <v>94</v>
      </c>
      <c r="W108" s="4">
        <v>2021</v>
      </c>
      <c r="X108" s="4">
        <v>53.5</v>
      </c>
      <c r="Y108" s="16">
        <v>133750</v>
      </c>
      <c r="Z108" s="4">
        <v>1</v>
      </c>
      <c r="AA108" s="4">
        <v>0</v>
      </c>
      <c r="AB108" s="16">
        <v>0</v>
      </c>
      <c r="AC108" s="4">
        <v>0</v>
      </c>
      <c r="AD108" s="4">
        <v>19</v>
      </c>
      <c r="AE108" s="16">
        <v>28500</v>
      </c>
      <c r="AF108" s="4">
        <v>1</v>
      </c>
      <c r="AG108" s="4">
        <v>0</v>
      </c>
      <c r="AH108" s="16">
        <v>0</v>
      </c>
      <c r="AI108" s="4">
        <v>0</v>
      </c>
      <c r="AJ108" s="4">
        <v>0</v>
      </c>
      <c r="AK108" s="16">
        <v>0</v>
      </c>
      <c r="AL108" s="28">
        <v>0</v>
      </c>
      <c r="AM108" s="4"/>
      <c r="AN108" s="2" t="s">
        <v>93</v>
      </c>
      <c r="AO108" s="4">
        <v>2022</v>
      </c>
      <c r="AP108" s="4">
        <v>208</v>
      </c>
      <c r="AQ108" s="16">
        <v>520000</v>
      </c>
      <c r="AR108" s="4">
        <v>3</v>
      </c>
      <c r="AS108" s="4"/>
      <c r="AT108" s="16"/>
      <c r="AU108" s="4">
        <v>0</v>
      </c>
      <c r="AV108" s="4">
        <v>22</v>
      </c>
      <c r="AW108" s="16">
        <v>33000</v>
      </c>
      <c r="AX108" s="4">
        <v>1</v>
      </c>
      <c r="AY108" s="4">
        <v>917</v>
      </c>
      <c r="AZ108" s="16">
        <v>1375500</v>
      </c>
      <c r="BA108" s="4">
        <v>3</v>
      </c>
      <c r="BB108" s="4">
        <v>1</v>
      </c>
      <c r="BC108" s="16">
        <v>100000</v>
      </c>
      <c r="BD108" s="4">
        <v>1</v>
      </c>
      <c r="BE108" s="4"/>
      <c r="BF108" s="4">
        <f t="shared" si="59"/>
        <v>75.3</v>
      </c>
      <c r="BG108" s="16">
        <f t="shared" si="60"/>
        <v>188250</v>
      </c>
      <c r="BH108" s="4">
        <f t="shared" si="61"/>
        <v>2</v>
      </c>
      <c r="BI108" s="4">
        <f t="shared" si="62"/>
        <v>0</v>
      </c>
      <c r="BJ108" s="16">
        <f t="shared" si="63"/>
        <v>0</v>
      </c>
      <c r="BK108" s="4">
        <f t="shared" si="64"/>
        <v>0</v>
      </c>
      <c r="BL108" s="4">
        <f t="shared" si="65"/>
        <v>34</v>
      </c>
      <c r="BM108" s="16">
        <f t="shared" si="66"/>
        <v>51000</v>
      </c>
      <c r="BN108" s="4">
        <f t="shared" si="67"/>
        <v>2</v>
      </c>
      <c r="BO108" s="4">
        <f t="shared" si="68"/>
        <v>0</v>
      </c>
      <c r="BP108" s="16">
        <f t="shared" si="69"/>
        <v>0</v>
      </c>
      <c r="BQ108" s="4">
        <f t="shared" si="70"/>
        <v>0</v>
      </c>
      <c r="BR108" s="4">
        <f t="shared" si="71"/>
        <v>0</v>
      </c>
      <c r="BS108" s="16">
        <f t="shared" si="72"/>
        <v>0</v>
      </c>
      <c r="BT108" s="4">
        <f t="shared" si="73"/>
        <v>0</v>
      </c>
      <c r="BU108" s="4">
        <f t="shared" si="52"/>
        <v>109.3</v>
      </c>
      <c r="BV108" s="16">
        <f t="shared" si="53"/>
        <v>239250</v>
      </c>
      <c r="BW108" s="4">
        <f t="shared" si="54"/>
        <v>4</v>
      </c>
    </row>
    <row r="109" spans="1:75" x14ac:dyDescent="0.25">
      <c r="A109" s="2" t="s">
        <v>93</v>
      </c>
      <c r="B109" s="4">
        <v>2020</v>
      </c>
      <c r="C109" s="4">
        <v>320</v>
      </c>
      <c r="D109" s="4" t="str">
        <f t="shared" si="55"/>
        <v>$640,000.00</v>
      </c>
      <c r="E109" s="16">
        <v>640000</v>
      </c>
      <c r="F109" s="4">
        <v>3</v>
      </c>
      <c r="G109" s="4">
        <v>0</v>
      </c>
      <c r="H109" s="4" t="str">
        <f t="shared" si="56"/>
        <v>$0.00</v>
      </c>
      <c r="I109" s="16">
        <v>0</v>
      </c>
      <c r="J109" s="4">
        <v>0</v>
      </c>
      <c r="K109" s="4">
        <v>11</v>
      </c>
      <c r="L109" s="4" t="str">
        <f t="shared" si="57"/>
        <v>$16,500.00</v>
      </c>
      <c r="M109" s="16">
        <v>16500</v>
      </c>
      <c r="N109" s="4">
        <v>2</v>
      </c>
      <c r="O109" s="4">
        <v>496</v>
      </c>
      <c r="P109" s="4" t="str">
        <f t="shared" si="58"/>
        <v>$744,000.00</v>
      </c>
      <c r="Q109" s="16">
        <v>744000</v>
      </c>
      <c r="R109" s="4">
        <v>1</v>
      </c>
      <c r="S109" s="4">
        <v>1</v>
      </c>
      <c r="T109" s="16">
        <v>77142.86</v>
      </c>
      <c r="U109" s="4">
        <v>1</v>
      </c>
      <c r="V109" s="4" t="s">
        <v>95</v>
      </c>
      <c r="W109" s="4">
        <v>2021</v>
      </c>
      <c r="X109" s="4">
        <v>6.8</v>
      </c>
      <c r="Y109" s="16">
        <v>17000</v>
      </c>
      <c r="Z109" s="4">
        <v>1</v>
      </c>
      <c r="AA109" s="4">
        <v>57.07</v>
      </c>
      <c r="AB109" s="16">
        <v>315350</v>
      </c>
      <c r="AC109" s="4">
        <v>26</v>
      </c>
      <c r="AD109" s="4">
        <v>169</v>
      </c>
      <c r="AE109" s="16">
        <v>253500</v>
      </c>
      <c r="AF109" s="4">
        <v>11</v>
      </c>
      <c r="AG109" s="4">
        <v>2565.4699999999998</v>
      </c>
      <c r="AH109" s="16">
        <v>3848204.9999999995</v>
      </c>
      <c r="AI109" s="4">
        <v>49</v>
      </c>
      <c r="AJ109" s="4">
        <v>0</v>
      </c>
      <c r="AK109" s="16">
        <v>0</v>
      </c>
      <c r="AL109" s="28">
        <v>0</v>
      </c>
      <c r="AM109" s="4"/>
      <c r="AN109" s="2" t="s">
        <v>94</v>
      </c>
      <c r="AO109" s="4">
        <v>2022</v>
      </c>
      <c r="AP109" s="4">
        <v>21.8</v>
      </c>
      <c r="AQ109" s="16">
        <v>54500</v>
      </c>
      <c r="AR109" s="4">
        <v>1</v>
      </c>
      <c r="AS109" s="4"/>
      <c r="AT109" s="16"/>
      <c r="AU109" s="4">
        <v>0</v>
      </c>
      <c r="AV109" s="4">
        <v>15</v>
      </c>
      <c r="AW109" s="16">
        <v>22500</v>
      </c>
      <c r="AX109" s="4">
        <v>1</v>
      </c>
      <c r="AY109" s="4">
        <v>0</v>
      </c>
      <c r="AZ109" s="16">
        <v>0</v>
      </c>
      <c r="BA109" s="4">
        <v>0</v>
      </c>
      <c r="BB109" s="4">
        <v>0</v>
      </c>
      <c r="BC109" s="16">
        <v>0</v>
      </c>
      <c r="BD109" s="4">
        <v>0</v>
      </c>
      <c r="BE109" s="4"/>
      <c r="BF109" s="4">
        <f t="shared" si="59"/>
        <v>47.3</v>
      </c>
      <c r="BG109" s="16">
        <f t="shared" si="60"/>
        <v>102500</v>
      </c>
      <c r="BH109" s="4">
        <f t="shared" si="61"/>
        <v>5</v>
      </c>
      <c r="BI109" s="4">
        <f t="shared" si="62"/>
        <v>97.07</v>
      </c>
      <c r="BJ109" s="16">
        <f t="shared" si="63"/>
        <v>515350</v>
      </c>
      <c r="BK109" s="4">
        <f t="shared" si="64"/>
        <v>39</v>
      </c>
      <c r="BL109" s="4">
        <f t="shared" si="65"/>
        <v>411</v>
      </c>
      <c r="BM109" s="16">
        <f t="shared" si="66"/>
        <v>616500</v>
      </c>
      <c r="BN109" s="4">
        <f t="shared" si="67"/>
        <v>27</v>
      </c>
      <c r="BO109" s="4">
        <f t="shared" si="68"/>
        <v>7389.41</v>
      </c>
      <c r="BP109" s="16">
        <f t="shared" si="69"/>
        <v>11084115</v>
      </c>
      <c r="BQ109" s="4">
        <f t="shared" si="70"/>
        <v>117</v>
      </c>
      <c r="BR109" s="4">
        <f t="shared" si="71"/>
        <v>0</v>
      </c>
      <c r="BS109" s="16">
        <f t="shared" si="72"/>
        <v>0</v>
      </c>
      <c r="BT109" s="4">
        <f t="shared" si="73"/>
        <v>0</v>
      </c>
      <c r="BU109" s="4">
        <f t="shared" si="52"/>
        <v>7944.78</v>
      </c>
      <c r="BV109" s="16">
        <f t="shared" si="53"/>
        <v>12318465</v>
      </c>
      <c r="BW109" s="4">
        <f t="shared" si="54"/>
        <v>188</v>
      </c>
    </row>
    <row r="110" spans="1:75" x14ac:dyDescent="0.25">
      <c r="A110" s="2" t="s">
        <v>94</v>
      </c>
      <c r="B110" s="4">
        <v>2020</v>
      </c>
      <c r="C110" s="4">
        <v>0</v>
      </c>
      <c r="D110" s="4" t="str">
        <f t="shared" si="55"/>
        <v>$0.00</v>
      </c>
      <c r="E110" s="16">
        <v>0</v>
      </c>
      <c r="F110" s="4">
        <v>0</v>
      </c>
      <c r="G110" s="4">
        <v>0</v>
      </c>
      <c r="H110" s="4" t="str">
        <f t="shared" si="56"/>
        <v>$0.00</v>
      </c>
      <c r="I110" s="16">
        <v>0</v>
      </c>
      <c r="J110" s="4">
        <v>0</v>
      </c>
      <c r="K110" s="4">
        <v>0</v>
      </c>
      <c r="L110" s="4" t="str">
        <f t="shared" si="57"/>
        <v>$0.00</v>
      </c>
      <c r="M110" s="16">
        <v>0</v>
      </c>
      <c r="N110" s="4">
        <v>0</v>
      </c>
      <c r="O110" s="4">
        <v>0</v>
      </c>
      <c r="P110" s="4" t="str">
        <f t="shared" si="58"/>
        <v>$0.00</v>
      </c>
      <c r="Q110" s="16">
        <v>0</v>
      </c>
      <c r="R110" s="4">
        <v>0</v>
      </c>
      <c r="S110" s="4">
        <v>0</v>
      </c>
      <c r="T110" s="16">
        <v>0</v>
      </c>
      <c r="U110" s="4">
        <v>0</v>
      </c>
      <c r="V110" s="4" t="s">
        <v>96</v>
      </c>
      <c r="W110" s="4">
        <v>2021</v>
      </c>
      <c r="X110" s="4">
        <v>90</v>
      </c>
      <c r="Y110" s="16">
        <v>225000</v>
      </c>
      <c r="Z110" s="4">
        <v>1</v>
      </c>
      <c r="AA110" s="4">
        <v>62.7</v>
      </c>
      <c r="AB110" s="16">
        <v>313500</v>
      </c>
      <c r="AC110" s="4">
        <v>2</v>
      </c>
      <c r="AD110" s="4">
        <v>159</v>
      </c>
      <c r="AE110" s="16">
        <v>238500</v>
      </c>
      <c r="AF110" s="4">
        <v>3</v>
      </c>
      <c r="AG110" s="4">
        <v>531</v>
      </c>
      <c r="AH110" s="16">
        <v>796500</v>
      </c>
      <c r="AI110" s="4">
        <v>2</v>
      </c>
      <c r="AJ110" s="4">
        <v>0</v>
      </c>
      <c r="AK110" s="16">
        <v>0</v>
      </c>
      <c r="AL110" s="28">
        <v>0</v>
      </c>
      <c r="AM110" s="4"/>
      <c r="AN110" s="2" t="s">
        <v>95</v>
      </c>
      <c r="AO110" s="4">
        <v>2022</v>
      </c>
      <c r="AP110" s="4">
        <v>9</v>
      </c>
      <c r="AQ110" s="16">
        <v>22500</v>
      </c>
      <c r="AR110" s="4">
        <v>1</v>
      </c>
      <c r="AS110" s="4">
        <v>5</v>
      </c>
      <c r="AT110" s="16">
        <v>25000</v>
      </c>
      <c r="AU110" s="4">
        <v>1</v>
      </c>
      <c r="AV110" s="4">
        <v>43</v>
      </c>
      <c r="AW110" s="16">
        <v>64500</v>
      </c>
      <c r="AX110" s="4">
        <v>6</v>
      </c>
      <c r="AY110" s="4">
        <v>2749.47</v>
      </c>
      <c r="AZ110" s="16">
        <v>4124205</v>
      </c>
      <c r="BA110" s="4">
        <v>37</v>
      </c>
      <c r="BB110" s="4">
        <v>0</v>
      </c>
      <c r="BC110" s="16">
        <v>0</v>
      </c>
      <c r="BD110" s="4">
        <v>0</v>
      </c>
      <c r="BE110" s="4"/>
      <c r="BF110" s="4">
        <f t="shared" si="59"/>
        <v>153</v>
      </c>
      <c r="BG110" s="16">
        <f t="shared" si="60"/>
        <v>361000</v>
      </c>
      <c r="BH110" s="4">
        <f t="shared" si="61"/>
        <v>5</v>
      </c>
      <c r="BI110" s="4">
        <f t="shared" si="62"/>
        <v>62.7</v>
      </c>
      <c r="BJ110" s="16">
        <f t="shared" si="63"/>
        <v>313500</v>
      </c>
      <c r="BK110" s="4">
        <f t="shared" si="64"/>
        <v>2</v>
      </c>
      <c r="BL110" s="4">
        <f t="shared" si="65"/>
        <v>900</v>
      </c>
      <c r="BM110" s="16">
        <f t="shared" si="66"/>
        <v>1350000</v>
      </c>
      <c r="BN110" s="4">
        <f t="shared" si="67"/>
        <v>14</v>
      </c>
      <c r="BO110" s="4">
        <f t="shared" si="68"/>
        <v>1593</v>
      </c>
      <c r="BP110" s="16">
        <f t="shared" si="69"/>
        <v>2389500</v>
      </c>
      <c r="BQ110" s="4">
        <f t="shared" si="70"/>
        <v>7</v>
      </c>
      <c r="BR110" s="4">
        <f t="shared" si="71"/>
        <v>0</v>
      </c>
      <c r="BS110" s="16">
        <f t="shared" si="72"/>
        <v>0</v>
      </c>
      <c r="BT110" s="4">
        <f t="shared" si="73"/>
        <v>0</v>
      </c>
      <c r="BU110" s="4">
        <f t="shared" si="52"/>
        <v>2708.7</v>
      </c>
      <c r="BV110" s="16">
        <f t="shared" si="53"/>
        <v>4414000</v>
      </c>
      <c r="BW110" s="4">
        <f t="shared" si="54"/>
        <v>28</v>
      </c>
    </row>
    <row r="111" spans="1:75" x14ac:dyDescent="0.25">
      <c r="A111" s="2" t="s">
        <v>95</v>
      </c>
      <c r="B111" s="4">
        <v>2020</v>
      </c>
      <c r="C111" s="4">
        <v>31.5</v>
      </c>
      <c r="D111" s="4" t="str">
        <f t="shared" si="55"/>
        <v>$63,000.00</v>
      </c>
      <c r="E111" s="16">
        <v>63000</v>
      </c>
      <c r="F111" s="4">
        <v>3</v>
      </c>
      <c r="G111" s="4">
        <v>35</v>
      </c>
      <c r="H111" s="4" t="str">
        <f t="shared" si="56"/>
        <v>$175,000.00</v>
      </c>
      <c r="I111" s="16">
        <v>175000</v>
      </c>
      <c r="J111" s="4">
        <v>12</v>
      </c>
      <c r="K111" s="4">
        <v>199</v>
      </c>
      <c r="L111" s="4" t="str">
        <f t="shared" si="57"/>
        <v>$298,500.00</v>
      </c>
      <c r="M111" s="16">
        <v>298500</v>
      </c>
      <c r="N111" s="4">
        <v>10</v>
      </c>
      <c r="O111" s="4">
        <v>2074.4700000000003</v>
      </c>
      <c r="P111" s="4" t="str">
        <f t="shared" si="58"/>
        <v>$3,111,705.00</v>
      </c>
      <c r="Q111" s="16">
        <v>3111705.0000000005</v>
      </c>
      <c r="R111" s="4">
        <v>31</v>
      </c>
      <c r="S111" s="4">
        <v>0</v>
      </c>
      <c r="T111" s="16">
        <v>0</v>
      </c>
      <c r="U111" s="4">
        <v>0</v>
      </c>
      <c r="V111" s="4" t="s">
        <v>97</v>
      </c>
      <c r="W111" s="4">
        <v>2021</v>
      </c>
      <c r="X111" s="4">
        <v>0</v>
      </c>
      <c r="Y111" s="16">
        <v>0</v>
      </c>
      <c r="Z111" s="4">
        <v>0</v>
      </c>
      <c r="AA111" s="4">
        <v>0</v>
      </c>
      <c r="AB111" s="16">
        <v>0</v>
      </c>
      <c r="AC111" s="4">
        <v>0</v>
      </c>
      <c r="AD111" s="4">
        <v>0</v>
      </c>
      <c r="AE111" s="16">
        <v>0</v>
      </c>
      <c r="AF111" s="4">
        <v>0</v>
      </c>
      <c r="AG111" s="4">
        <v>0</v>
      </c>
      <c r="AH111" s="16">
        <v>0</v>
      </c>
      <c r="AI111" s="4">
        <v>0</v>
      </c>
      <c r="AJ111" s="4">
        <v>0</v>
      </c>
      <c r="AK111" s="16">
        <v>0</v>
      </c>
      <c r="AL111" s="28">
        <v>0</v>
      </c>
      <c r="AM111" s="4"/>
      <c r="AN111" s="2" t="s">
        <v>96</v>
      </c>
      <c r="AO111" s="4">
        <v>2022</v>
      </c>
      <c r="AP111" s="4">
        <v>20</v>
      </c>
      <c r="AQ111" s="16">
        <v>50000</v>
      </c>
      <c r="AR111" s="4">
        <v>2</v>
      </c>
      <c r="AS111" s="4"/>
      <c r="AT111" s="16"/>
      <c r="AU111" s="4">
        <v>0</v>
      </c>
      <c r="AV111" s="4">
        <v>368</v>
      </c>
      <c r="AW111" s="16">
        <v>552000</v>
      </c>
      <c r="AX111" s="4">
        <v>5</v>
      </c>
      <c r="AY111" s="4">
        <v>531</v>
      </c>
      <c r="AZ111" s="16">
        <v>796500</v>
      </c>
      <c r="BA111" s="4">
        <v>3</v>
      </c>
      <c r="BB111" s="4">
        <v>0</v>
      </c>
      <c r="BC111" s="16">
        <v>0</v>
      </c>
      <c r="BD111" s="4">
        <v>0</v>
      </c>
      <c r="BE111" s="4"/>
      <c r="BF111" s="4">
        <f t="shared" si="59"/>
        <v>0</v>
      </c>
      <c r="BG111" s="16">
        <f t="shared" si="60"/>
        <v>0</v>
      </c>
      <c r="BH111" s="4">
        <f t="shared" si="61"/>
        <v>0</v>
      </c>
      <c r="BI111" s="4">
        <f t="shared" si="62"/>
        <v>0</v>
      </c>
      <c r="BJ111" s="16">
        <f t="shared" si="63"/>
        <v>0</v>
      </c>
      <c r="BK111" s="4">
        <f t="shared" si="64"/>
        <v>0</v>
      </c>
      <c r="BL111" s="4">
        <f t="shared" si="65"/>
        <v>0</v>
      </c>
      <c r="BM111" s="16">
        <f t="shared" si="66"/>
        <v>0</v>
      </c>
      <c r="BN111" s="4">
        <f t="shared" si="67"/>
        <v>0</v>
      </c>
      <c r="BO111" s="4">
        <f t="shared" si="68"/>
        <v>0</v>
      </c>
      <c r="BP111" s="16">
        <f t="shared" si="69"/>
        <v>0</v>
      </c>
      <c r="BQ111" s="4">
        <f t="shared" si="70"/>
        <v>0</v>
      </c>
      <c r="BR111" s="4">
        <f t="shared" si="71"/>
        <v>0</v>
      </c>
      <c r="BS111" s="16">
        <f t="shared" si="72"/>
        <v>0</v>
      </c>
      <c r="BT111" s="4">
        <f t="shared" si="73"/>
        <v>0</v>
      </c>
      <c r="BU111" s="4">
        <f t="shared" si="52"/>
        <v>0</v>
      </c>
      <c r="BV111" s="16">
        <f t="shared" si="53"/>
        <v>0</v>
      </c>
      <c r="BW111" s="4">
        <f t="shared" si="54"/>
        <v>0</v>
      </c>
    </row>
    <row r="112" spans="1:75" x14ac:dyDescent="0.25">
      <c r="A112" s="2" t="s">
        <v>96</v>
      </c>
      <c r="B112" s="4">
        <v>2020</v>
      </c>
      <c r="C112" s="4">
        <v>43</v>
      </c>
      <c r="D112" s="4" t="str">
        <f t="shared" si="55"/>
        <v>$86,000.00</v>
      </c>
      <c r="E112" s="16">
        <v>86000</v>
      </c>
      <c r="F112" s="4">
        <v>2</v>
      </c>
      <c r="G112" s="4">
        <v>0</v>
      </c>
      <c r="H112" s="4" t="str">
        <f t="shared" si="56"/>
        <v>$0.00</v>
      </c>
      <c r="I112" s="16">
        <v>0</v>
      </c>
      <c r="J112" s="4">
        <v>0</v>
      </c>
      <c r="K112" s="4">
        <v>373</v>
      </c>
      <c r="L112" s="4" t="str">
        <f t="shared" si="57"/>
        <v>$559,500.00</v>
      </c>
      <c r="M112" s="16">
        <v>559500</v>
      </c>
      <c r="N112" s="4">
        <v>6</v>
      </c>
      <c r="O112" s="4">
        <v>531</v>
      </c>
      <c r="P112" s="4" t="str">
        <f t="shared" si="58"/>
        <v>$796,500.00</v>
      </c>
      <c r="Q112" s="16">
        <v>796500</v>
      </c>
      <c r="R112" s="4">
        <v>2</v>
      </c>
      <c r="S112" s="4">
        <v>0</v>
      </c>
      <c r="T112" s="16">
        <v>0</v>
      </c>
      <c r="U112" s="4">
        <v>0</v>
      </c>
      <c r="V112" s="4" t="s">
        <v>98</v>
      </c>
      <c r="W112" s="4">
        <v>2021</v>
      </c>
      <c r="X112" s="4">
        <v>0</v>
      </c>
      <c r="Y112" s="16">
        <v>0</v>
      </c>
      <c r="Z112" s="4">
        <v>0</v>
      </c>
      <c r="AA112" s="4">
        <v>8.6999999999999993</v>
      </c>
      <c r="AB112" s="16">
        <v>58500</v>
      </c>
      <c r="AC112" s="4">
        <v>5</v>
      </c>
      <c r="AD112" s="4">
        <v>13</v>
      </c>
      <c r="AE112" s="16">
        <v>19500</v>
      </c>
      <c r="AF112" s="4">
        <v>1</v>
      </c>
      <c r="AG112" s="4">
        <v>0</v>
      </c>
      <c r="AH112" s="16">
        <v>0</v>
      </c>
      <c r="AI112" s="4">
        <v>0</v>
      </c>
      <c r="AJ112" s="4">
        <v>0</v>
      </c>
      <c r="AK112" s="16">
        <v>0</v>
      </c>
      <c r="AL112" s="28">
        <v>0</v>
      </c>
      <c r="AM112" s="4"/>
      <c r="AN112" s="2" t="s">
        <v>97</v>
      </c>
      <c r="AO112" s="4">
        <v>2022</v>
      </c>
      <c r="AP112" s="4">
        <v>0</v>
      </c>
      <c r="AQ112" s="16">
        <v>0</v>
      </c>
      <c r="AR112" s="4">
        <v>0</v>
      </c>
      <c r="AS112" s="4"/>
      <c r="AT112" s="16"/>
      <c r="AU112" s="4">
        <v>0</v>
      </c>
      <c r="AV112" s="4">
        <v>0</v>
      </c>
      <c r="AW112" s="16">
        <v>0</v>
      </c>
      <c r="AX112" s="4">
        <v>0</v>
      </c>
      <c r="AY112" s="4">
        <v>0</v>
      </c>
      <c r="AZ112" s="16">
        <v>0</v>
      </c>
      <c r="BA112" s="4">
        <v>0</v>
      </c>
      <c r="BB112" s="4">
        <v>0</v>
      </c>
      <c r="BC112" s="16">
        <v>0</v>
      </c>
      <c r="BD112" s="4">
        <v>0</v>
      </c>
      <c r="BE112" s="4"/>
      <c r="BF112" s="4">
        <f t="shared" si="59"/>
        <v>0</v>
      </c>
      <c r="BG112" s="16">
        <f t="shared" si="60"/>
        <v>0</v>
      </c>
      <c r="BH112" s="4">
        <f t="shared" si="61"/>
        <v>0</v>
      </c>
      <c r="BI112" s="4">
        <f t="shared" si="62"/>
        <v>12.2</v>
      </c>
      <c r="BJ112" s="16">
        <f t="shared" si="63"/>
        <v>91000</v>
      </c>
      <c r="BK112" s="4">
        <f t="shared" si="64"/>
        <v>7</v>
      </c>
      <c r="BL112" s="4">
        <f t="shared" si="65"/>
        <v>39</v>
      </c>
      <c r="BM112" s="16">
        <f t="shared" si="66"/>
        <v>58500</v>
      </c>
      <c r="BN112" s="4">
        <f t="shared" si="67"/>
        <v>3</v>
      </c>
      <c r="BO112" s="4">
        <f t="shared" si="68"/>
        <v>241</v>
      </c>
      <c r="BP112" s="16">
        <f t="shared" si="69"/>
        <v>361500</v>
      </c>
      <c r="BQ112" s="4">
        <f t="shared" si="70"/>
        <v>1</v>
      </c>
      <c r="BR112" s="4">
        <f t="shared" si="71"/>
        <v>0</v>
      </c>
      <c r="BS112" s="16">
        <f t="shared" si="72"/>
        <v>0</v>
      </c>
      <c r="BT112" s="4">
        <f t="shared" si="73"/>
        <v>0</v>
      </c>
      <c r="BU112" s="4">
        <f t="shared" si="52"/>
        <v>292.2</v>
      </c>
      <c r="BV112" s="16">
        <f t="shared" si="53"/>
        <v>511000</v>
      </c>
      <c r="BW112" s="4">
        <f t="shared" si="54"/>
        <v>11</v>
      </c>
    </row>
    <row r="113" spans="1:75" x14ac:dyDescent="0.25">
      <c r="A113" s="2" t="s">
        <v>97</v>
      </c>
      <c r="B113" s="4">
        <v>2020</v>
      </c>
      <c r="C113" s="4">
        <v>0</v>
      </c>
      <c r="D113" s="4" t="str">
        <f t="shared" si="55"/>
        <v>$0.00</v>
      </c>
      <c r="E113" s="16">
        <v>0</v>
      </c>
      <c r="F113" s="4">
        <v>0</v>
      </c>
      <c r="G113" s="4">
        <v>0</v>
      </c>
      <c r="H113" s="4" t="str">
        <f t="shared" si="56"/>
        <v>$0.00</v>
      </c>
      <c r="I113" s="16">
        <v>0</v>
      </c>
      <c r="J113" s="4">
        <v>0</v>
      </c>
      <c r="K113" s="4">
        <v>0</v>
      </c>
      <c r="L113" s="4" t="str">
        <f t="shared" si="57"/>
        <v>$0.00</v>
      </c>
      <c r="M113" s="16">
        <v>0</v>
      </c>
      <c r="N113" s="4">
        <v>0</v>
      </c>
      <c r="O113" s="4">
        <v>0</v>
      </c>
      <c r="P113" s="4" t="str">
        <f t="shared" si="58"/>
        <v>$0.00</v>
      </c>
      <c r="Q113" s="16">
        <v>0</v>
      </c>
      <c r="R113" s="4">
        <v>0</v>
      </c>
      <c r="S113" s="4">
        <v>0</v>
      </c>
      <c r="T113" s="16">
        <v>0</v>
      </c>
      <c r="U113" s="4">
        <v>0</v>
      </c>
      <c r="V113" s="4" t="s">
        <v>99</v>
      </c>
      <c r="W113" s="4">
        <v>2021</v>
      </c>
      <c r="X113" s="4">
        <v>0</v>
      </c>
      <c r="Y113" s="16">
        <v>0</v>
      </c>
      <c r="Z113" s="4">
        <v>0</v>
      </c>
      <c r="AA113" s="4">
        <v>0</v>
      </c>
      <c r="AB113" s="16">
        <v>0</v>
      </c>
      <c r="AC113" s="4">
        <v>0</v>
      </c>
      <c r="AD113" s="4">
        <v>0</v>
      </c>
      <c r="AE113" s="16">
        <v>0</v>
      </c>
      <c r="AF113" s="4">
        <v>0</v>
      </c>
      <c r="AG113" s="4">
        <v>0</v>
      </c>
      <c r="AH113" s="16">
        <v>0</v>
      </c>
      <c r="AI113" s="4">
        <v>0</v>
      </c>
      <c r="AJ113" s="4">
        <v>0</v>
      </c>
      <c r="AK113" s="16">
        <v>0</v>
      </c>
      <c r="AL113" s="28">
        <v>0</v>
      </c>
      <c r="AM113" s="4"/>
      <c r="AN113" s="2" t="s">
        <v>98</v>
      </c>
      <c r="AO113" s="4">
        <v>2022</v>
      </c>
      <c r="AP113" s="4">
        <v>0</v>
      </c>
      <c r="AQ113" s="16">
        <v>0</v>
      </c>
      <c r="AR113" s="4">
        <v>0</v>
      </c>
      <c r="AS113" s="4">
        <v>3.5</v>
      </c>
      <c r="AT113" s="16">
        <v>32500</v>
      </c>
      <c r="AU113" s="4">
        <v>2</v>
      </c>
      <c r="AV113" s="4">
        <v>13</v>
      </c>
      <c r="AW113" s="16">
        <v>19500</v>
      </c>
      <c r="AX113" s="4">
        <v>1</v>
      </c>
      <c r="AY113" s="4">
        <v>0</v>
      </c>
      <c r="AZ113" s="16">
        <v>0</v>
      </c>
      <c r="BA113" s="4">
        <v>0</v>
      </c>
      <c r="BB113" s="4">
        <v>0</v>
      </c>
      <c r="BC113" s="16">
        <v>0</v>
      </c>
      <c r="BD113" s="4">
        <v>0</v>
      </c>
      <c r="BE113" s="4"/>
      <c r="BF113" s="4">
        <f t="shared" si="59"/>
        <v>0</v>
      </c>
      <c r="BG113" s="16">
        <f t="shared" si="60"/>
        <v>0</v>
      </c>
      <c r="BH113" s="4">
        <f t="shared" si="61"/>
        <v>0</v>
      </c>
      <c r="BI113" s="4">
        <f t="shared" si="62"/>
        <v>0</v>
      </c>
      <c r="BJ113" s="16">
        <f t="shared" si="63"/>
        <v>0</v>
      </c>
      <c r="BK113" s="4">
        <f t="shared" si="64"/>
        <v>0</v>
      </c>
      <c r="BL113" s="4">
        <f t="shared" si="65"/>
        <v>0</v>
      </c>
      <c r="BM113" s="16">
        <f t="shared" si="66"/>
        <v>0</v>
      </c>
      <c r="BN113" s="4">
        <f t="shared" si="67"/>
        <v>0</v>
      </c>
      <c r="BO113" s="4">
        <f t="shared" si="68"/>
        <v>0</v>
      </c>
      <c r="BP113" s="16">
        <f t="shared" si="69"/>
        <v>0</v>
      </c>
      <c r="BQ113" s="4">
        <f t="shared" si="70"/>
        <v>0</v>
      </c>
      <c r="BR113" s="4">
        <f t="shared" si="71"/>
        <v>0</v>
      </c>
      <c r="BS113" s="16">
        <f t="shared" si="72"/>
        <v>0</v>
      </c>
      <c r="BT113" s="4">
        <f t="shared" si="73"/>
        <v>0</v>
      </c>
      <c r="BU113" s="4">
        <f t="shared" si="52"/>
        <v>0</v>
      </c>
      <c r="BV113" s="16">
        <f t="shared" si="53"/>
        <v>0</v>
      </c>
      <c r="BW113" s="4">
        <f t="shared" si="54"/>
        <v>0</v>
      </c>
    </row>
    <row r="114" spans="1:75" x14ac:dyDescent="0.25">
      <c r="A114" s="2" t="s">
        <v>98</v>
      </c>
      <c r="B114" s="4">
        <v>2020</v>
      </c>
      <c r="C114" s="4">
        <v>0</v>
      </c>
      <c r="D114" s="4" t="str">
        <f t="shared" si="55"/>
        <v>$0.00</v>
      </c>
      <c r="E114" s="16">
        <v>0</v>
      </c>
      <c r="F114" s="4">
        <v>0</v>
      </c>
      <c r="G114" s="4">
        <v>0</v>
      </c>
      <c r="H114" s="4" t="str">
        <f t="shared" si="56"/>
        <v>$0.00</v>
      </c>
      <c r="I114" s="16">
        <v>0</v>
      </c>
      <c r="J114" s="4">
        <v>0</v>
      </c>
      <c r="K114" s="4">
        <v>13</v>
      </c>
      <c r="L114" s="4" t="str">
        <f t="shared" si="57"/>
        <v>$19,500.00</v>
      </c>
      <c r="M114" s="16">
        <v>19500</v>
      </c>
      <c r="N114" s="4">
        <v>1</v>
      </c>
      <c r="O114" s="4">
        <v>241</v>
      </c>
      <c r="P114" s="4" t="str">
        <f t="shared" si="58"/>
        <v>$361,500.00</v>
      </c>
      <c r="Q114" s="16">
        <v>361500</v>
      </c>
      <c r="R114" s="4">
        <v>1</v>
      </c>
      <c r="S114" s="4">
        <v>0</v>
      </c>
      <c r="T114" s="16">
        <v>0</v>
      </c>
      <c r="U114" s="4">
        <v>0</v>
      </c>
      <c r="V114" s="4" t="s">
        <v>137</v>
      </c>
      <c r="W114" s="4">
        <v>2021</v>
      </c>
      <c r="X114" s="4">
        <v>23</v>
      </c>
      <c r="Y114" s="16">
        <v>57500</v>
      </c>
      <c r="Z114" s="4">
        <v>1</v>
      </c>
      <c r="AA114" s="4">
        <v>0</v>
      </c>
      <c r="AB114" s="16">
        <v>0</v>
      </c>
      <c r="AC114" s="4">
        <v>0</v>
      </c>
      <c r="AD114" s="4">
        <v>62</v>
      </c>
      <c r="AE114" s="16">
        <v>93000</v>
      </c>
      <c r="AF114" s="4">
        <v>1</v>
      </c>
      <c r="AG114" s="4">
        <v>151</v>
      </c>
      <c r="AH114" s="16">
        <v>226500</v>
      </c>
      <c r="AI114" s="4">
        <v>2</v>
      </c>
      <c r="AJ114" s="4">
        <v>0</v>
      </c>
      <c r="AK114" s="16">
        <v>0</v>
      </c>
      <c r="AL114" s="28">
        <v>0</v>
      </c>
      <c r="AM114" s="4"/>
      <c r="AN114" s="2" t="s">
        <v>99</v>
      </c>
      <c r="AO114" s="4">
        <v>2022</v>
      </c>
      <c r="AP114" s="4">
        <v>0</v>
      </c>
      <c r="AQ114" s="16">
        <v>0</v>
      </c>
      <c r="AR114" s="4">
        <v>0</v>
      </c>
      <c r="AS114" s="4"/>
      <c r="AT114" s="16"/>
      <c r="AU114" s="4">
        <v>0</v>
      </c>
      <c r="AV114" s="4">
        <v>0</v>
      </c>
      <c r="AW114" s="16">
        <v>0</v>
      </c>
      <c r="AX114" s="4">
        <v>0</v>
      </c>
      <c r="AY114" s="4">
        <v>0</v>
      </c>
      <c r="AZ114" s="16">
        <v>0</v>
      </c>
      <c r="BA114" s="4">
        <v>0</v>
      </c>
      <c r="BB114" s="4">
        <v>0</v>
      </c>
      <c r="BC114" s="16">
        <v>0</v>
      </c>
      <c r="BD114" s="4">
        <v>0</v>
      </c>
      <c r="BE114" s="4"/>
      <c r="BF114" s="4">
        <f t="shared" si="59"/>
        <v>53</v>
      </c>
      <c r="BG114" s="16">
        <f t="shared" si="60"/>
        <v>132500</v>
      </c>
      <c r="BH114" s="4">
        <f t="shared" si="61"/>
        <v>2</v>
      </c>
      <c r="BI114" s="4">
        <f t="shared" si="62"/>
        <v>0</v>
      </c>
      <c r="BJ114" s="16">
        <f t="shared" si="63"/>
        <v>0</v>
      </c>
      <c r="BK114" s="4">
        <f t="shared" si="64"/>
        <v>0</v>
      </c>
      <c r="BL114" s="4">
        <f t="shared" si="65"/>
        <v>124</v>
      </c>
      <c r="BM114" s="16">
        <f t="shared" si="66"/>
        <v>186000</v>
      </c>
      <c r="BN114" s="4">
        <f t="shared" si="67"/>
        <v>2</v>
      </c>
      <c r="BO114" s="4">
        <f t="shared" si="68"/>
        <v>294</v>
      </c>
      <c r="BP114" s="16">
        <f t="shared" si="69"/>
        <v>441000</v>
      </c>
      <c r="BQ114" s="4">
        <f t="shared" si="70"/>
        <v>4</v>
      </c>
      <c r="BR114" s="4">
        <f t="shared" si="71"/>
        <v>0</v>
      </c>
      <c r="BS114" s="16">
        <f t="shared" si="72"/>
        <v>0</v>
      </c>
      <c r="BT114" s="4">
        <f t="shared" si="73"/>
        <v>0</v>
      </c>
      <c r="BU114" s="4">
        <f t="shared" si="52"/>
        <v>471</v>
      </c>
      <c r="BV114" s="16">
        <f t="shared" si="53"/>
        <v>759500</v>
      </c>
      <c r="BW114" s="4">
        <f t="shared" si="54"/>
        <v>8</v>
      </c>
    </row>
    <row r="115" spans="1:75" x14ac:dyDescent="0.25">
      <c r="A115" s="2" t="s">
        <v>99</v>
      </c>
      <c r="B115" s="4">
        <v>2020</v>
      </c>
      <c r="C115" s="4">
        <v>0</v>
      </c>
      <c r="D115" s="4" t="str">
        <f t="shared" si="55"/>
        <v>$0.00</v>
      </c>
      <c r="E115" s="16">
        <v>0</v>
      </c>
      <c r="F115" s="4">
        <v>0</v>
      </c>
      <c r="G115" s="4">
        <v>0</v>
      </c>
      <c r="H115" s="4" t="str">
        <f t="shared" si="56"/>
        <v>$0.00</v>
      </c>
      <c r="I115" s="16">
        <v>0</v>
      </c>
      <c r="J115" s="4">
        <v>0</v>
      </c>
      <c r="K115" s="4">
        <v>0</v>
      </c>
      <c r="L115" s="4" t="str">
        <f t="shared" si="57"/>
        <v>$0.00</v>
      </c>
      <c r="M115" s="16">
        <v>0</v>
      </c>
      <c r="N115" s="4">
        <v>0</v>
      </c>
      <c r="O115" s="4">
        <v>0</v>
      </c>
      <c r="P115" s="4" t="str">
        <f t="shared" si="58"/>
        <v>$0.00</v>
      </c>
      <c r="Q115" s="16">
        <v>0</v>
      </c>
      <c r="R115" s="4">
        <v>0</v>
      </c>
      <c r="S115" s="4">
        <v>0</v>
      </c>
      <c r="T115" s="16">
        <v>0</v>
      </c>
      <c r="U115" s="4">
        <v>0</v>
      </c>
      <c r="V115" s="4" t="s">
        <v>100</v>
      </c>
      <c r="W115" s="4">
        <v>2021</v>
      </c>
      <c r="X115" s="4">
        <v>0</v>
      </c>
      <c r="Y115" s="16">
        <v>0</v>
      </c>
      <c r="Z115" s="4">
        <v>0</v>
      </c>
      <c r="AA115" s="4">
        <v>1</v>
      </c>
      <c r="AB115" s="16">
        <v>20000</v>
      </c>
      <c r="AC115" s="4">
        <v>1</v>
      </c>
      <c r="AD115" s="4">
        <v>0</v>
      </c>
      <c r="AE115" s="16">
        <v>0</v>
      </c>
      <c r="AF115" s="4">
        <v>0</v>
      </c>
      <c r="AG115" s="4">
        <v>1157</v>
      </c>
      <c r="AH115" s="16">
        <v>1735500</v>
      </c>
      <c r="AI115" s="4">
        <v>9</v>
      </c>
      <c r="AJ115" s="4">
        <v>1</v>
      </c>
      <c r="AK115" s="16">
        <v>88671</v>
      </c>
      <c r="AL115" s="28">
        <v>1</v>
      </c>
      <c r="AM115" s="4"/>
      <c r="AN115" s="2" t="s">
        <v>137</v>
      </c>
      <c r="AO115" s="4">
        <v>2022</v>
      </c>
      <c r="AP115" s="4">
        <v>30</v>
      </c>
      <c r="AQ115" s="16">
        <v>75000</v>
      </c>
      <c r="AR115" s="4">
        <v>1</v>
      </c>
      <c r="AS115" s="4"/>
      <c r="AT115" s="16"/>
      <c r="AU115" s="4">
        <v>0</v>
      </c>
      <c r="AV115" s="4">
        <v>62</v>
      </c>
      <c r="AW115" s="16">
        <v>93000</v>
      </c>
      <c r="AX115" s="4">
        <v>1</v>
      </c>
      <c r="AY115" s="4">
        <v>143</v>
      </c>
      <c r="AZ115" s="16">
        <v>214500</v>
      </c>
      <c r="BA115" s="4">
        <v>2</v>
      </c>
      <c r="BB115" s="4">
        <v>0</v>
      </c>
      <c r="BC115" s="16">
        <v>0</v>
      </c>
      <c r="BD115" s="4">
        <v>0</v>
      </c>
      <c r="BE115" s="4"/>
      <c r="BF115" s="4">
        <f t="shared" si="59"/>
        <v>42</v>
      </c>
      <c r="BG115" s="16">
        <f t="shared" si="60"/>
        <v>104500</v>
      </c>
      <c r="BH115" s="4">
        <f t="shared" si="61"/>
        <v>3</v>
      </c>
      <c r="BI115" s="4">
        <f t="shared" si="62"/>
        <v>1</v>
      </c>
      <c r="BJ115" s="16">
        <f t="shared" si="63"/>
        <v>20000</v>
      </c>
      <c r="BK115" s="4">
        <f t="shared" si="64"/>
        <v>1</v>
      </c>
      <c r="BL115" s="4">
        <f t="shared" si="65"/>
        <v>0</v>
      </c>
      <c r="BM115" s="16">
        <f t="shared" si="66"/>
        <v>0</v>
      </c>
      <c r="BN115" s="4">
        <f t="shared" si="67"/>
        <v>0</v>
      </c>
      <c r="BO115" s="4">
        <f t="shared" si="68"/>
        <v>3430</v>
      </c>
      <c r="BP115" s="16">
        <f t="shared" si="69"/>
        <v>5145000</v>
      </c>
      <c r="BQ115" s="4">
        <f t="shared" si="70"/>
        <v>27</v>
      </c>
      <c r="BR115" s="4">
        <f t="shared" si="71"/>
        <v>1</v>
      </c>
      <c r="BS115" s="16">
        <f t="shared" si="72"/>
        <v>88671</v>
      </c>
      <c r="BT115" s="4">
        <f t="shared" si="73"/>
        <v>1</v>
      </c>
      <c r="BU115" s="4">
        <f t="shared" si="52"/>
        <v>3473</v>
      </c>
      <c r="BV115" s="16">
        <f t="shared" si="53"/>
        <v>5358171</v>
      </c>
      <c r="BW115" s="4">
        <f t="shared" si="54"/>
        <v>32</v>
      </c>
    </row>
    <row r="116" spans="1:75" x14ac:dyDescent="0.25">
      <c r="A116" s="2" t="s">
        <v>137</v>
      </c>
      <c r="B116" s="4">
        <v>2020</v>
      </c>
      <c r="C116" s="4">
        <v>0</v>
      </c>
      <c r="D116" s="4" t="str">
        <f t="shared" si="55"/>
        <v>$0.00</v>
      </c>
      <c r="E116" s="16">
        <v>0</v>
      </c>
      <c r="F116" s="4">
        <v>0</v>
      </c>
      <c r="G116" s="4">
        <v>0</v>
      </c>
      <c r="H116" s="4" t="str">
        <f t="shared" si="56"/>
        <v>$0.00</v>
      </c>
      <c r="I116" s="16">
        <v>0</v>
      </c>
      <c r="J116" s="4">
        <v>0</v>
      </c>
      <c r="K116" s="4">
        <v>0</v>
      </c>
      <c r="L116" s="4" t="str">
        <f t="shared" si="57"/>
        <v>$0.00</v>
      </c>
      <c r="M116" s="16">
        <v>0</v>
      </c>
      <c r="N116" s="4">
        <v>0</v>
      </c>
      <c r="O116" s="4">
        <v>0</v>
      </c>
      <c r="P116" s="4" t="str">
        <f t="shared" si="58"/>
        <v>$0.00</v>
      </c>
      <c r="Q116" s="16">
        <v>0</v>
      </c>
      <c r="R116" s="4">
        <v>0</v>
      </c>
      <c r="S116" s="4">
        <v>0</v>
      </c>
      <c r="T116" s="16">
        <v>0</v>
      </c>
      <c r="U116" s="4">
        <v>0</v>
      </c>
      <c r="V116" s="4" t="s">
        <v>101</v>
      </c>
      <c r="W116" s="4">
        <v>2021</v>
      </c>
      <c r="X116" s="4">
        <v>0</v>
      </c>
      <c r="Y116" s="16">
        <v>0</v>
      </c>
      <c r="Z116" s="4">
        <v>0</v>
      </c>
      <c r="AA116" s="4">
        <v>0</v>
      </c>
      <c r="AB116" s="16">
        <v>0</v>
      </c>
      <c r="AC116" s="4">
        <v>0</v>
      </c>
      <c r="AD116" s="4">
        <v>0</v>
      </c>
      <c r="AE116" s="16">
        <v>0</v>
      </c>
      <c r="AF116" s="4">
        <v>0</v>
      </c>
      <c r="AG116" s="4">
        <v>0</v>
      </c>
      <c r="AH116" s="16">
        <v>0</v>
      </c>
      <c r="AI116" s="4">
        <v>0</v>
      </c>
      <c r="AJ116" s="4">
        <v>0</v>
      </c>
      <c r="AK116" s="16">
        <v>0</v>
      </c>
      <c r="AL116" s="28">
        <v>0</v>
      </c>
      <c r="AM116" s="4"/>
      <c r="AN116" s="2" t="s">
        <v>100</v>
      </c>
      <c r="AO116" s="4">
        <v>2022</v>
      </c>
      <c r="AP116" s="4">
        <v>41</v>
      </c>
      <c r="AQ116" s="16">
        <v>102500</v>
      </c>
      <c r="AR116" s="4">
        <v>2</v>
      </c>
      <c r="AS116" s="4"/>
      <c r="AT116" s="16"/>
      <c r="AU116" s="4">
        <v>0</v>
      </c>
      <c r="AV116" s="4">
        <v>0</v>
      </c>
      <c r="AW116" s="16">
        <v>0</v>
      </c>
      <c r="AX116" s="4">
        <v>0</v>
      </c>
      <c r="AY116" s="4">
        <v>1320</v>
      </c>
      <c r="AZ116" s="16">
        <v>1980000</v>
      </c>
      <c r="BA116" s="4">
        <v>9</v>
      </c>
      <c r="BB116" s="4">
        <v>0</v>
      </c>
      <c r="BC116" s="16">
        <v>0</v>
      </c>
      <c r="BD116" s="4">
        <v>0</v>
      </c>
      <c r="BE116" s="4"/>
      <c r="BF116" s="4">
        <f t="shared" si="59"/>
        <v>0</v>
      </c>
      <c r="BG116" s="16">
        <f t="shared" si="60"/>
        <v>0</v>
      </c>
      <c r="BH116" s="4">
        <f t="shared" si="61"/>
        <v>0</v>
      </c>
      <c r="BI116" s="4">
        <f t="shared" si="62"/>
        <v>0</v>
      </c>
      <c r="BJ116" s="16">
        <f t="shared" si="63"/>
        <v>0</v>
      </c>
      <c r="BK116" s="4">
        <f t="shared" si="64"/>
        <v>0</v>
      </c>
      <c r="BL116" s="4">
        <f t="shared" si="65"/>
        <v>0</v>
      </c>
      <c r="BM116" s="16">
        <f t="shared" si="66"/>
        <v>0</v>
      </c>
      <c r="BN116" s="4">
        <f t="shared" si="67"/>
        <v>0</v>
      </c>
      <c r="BO116" s="4">
        <f t="shared" si="68"/>
        <v>0</v>
      </c>
      <c r="BP116" s="16">
        <f t="shared" si="69"/>
        <v>0</v>
      </c>
      <c r="BQ116" s="4">
        <f t="shared" si="70"/>
        <v>0</v>
      </c>
      <c r="BR116" s="4">
        <f t="shared" si="71"/>
        <v>0</v>
      </c>
      <c r="BS116" s="16">
        <f t="shared" si="72"/>
        <v>0</v>
      </c>
      <c r="BT116" s="4">
        <f t="shared" si="73"/>
        <v>0</v>
      </c>
      <c r="BU116" s="4">
        <f t="shared" si="52"/>
        <v>0</v>
      </c>
      <c r="BV116" s="16">
        <f t="shared" si="53"/>
        <v>0</v>
      </c>
      <c r="BW116" s="4">
        <f t="shared" si="54"/>
        <v>0</v>
      </c>
    </row>
    <row r="117" spans="1:75" x14ac:dyDescent="0.25">
      <c r="A117" s="2" t="s">
        <v>100</v>
      </c>
      <c r="B117" s="4">
        <v>2020</v>
      </c>
      <c r="C117" s="4">
        <v>1</v>
      </c>
      <c r="D117" s="4" t="str">
        <f t="shared" si="55"/>
        <v>$2,000.00</v>
      </c>
      <c r="E117" s="16">
        <v>2000</v>
      </c>
      <c r="F117" s="4">
        <v>1</v>
      </c>
      <c r="G117" s="4">
        <v>0</v>
      </c>
      <c r="H117" s="4" t="str">
        <f t="shared" si="56"/>
        <v>$0.00</v>
      </c>
      <c r="I117" s="16">
        <v>0</v>
      </c>
      <c r="J117" s="4">
        <v>0</v>
      </c>
      <c r="K117" s="4">
        <v>0</v>
      </c>
      <c r="L117" s="4" t="str">
        <f t="shared" si="57"/>
        <v>$0.00</v>
      </c>
      <c r="M117" s="16">
        <v>0</v>
      </c>
      <c r="N117" s="4">
        <v>0</v>
      </c>
      <c r="O117" s="4">
        <v>953</v>
      </c>
      <c r="P117" s="4" t="str">
        <f t="shared" si="58"/>
        <v>$1,429,500.00</v>
      </c>
      <c r="Q117" s="16">
        <v>1429500</v>
      </c>
      <c r="R117" s="4">
        <v>9</v>
      </c>
      <c r="S117" s="4">
        <v>0</v>
      </c>
      <c r="T117" s="16">
        <v>0</v>
      </c>
      <c r="U117" s="4">
        <v>0</v>
      </c>
      <c r="V117" s="4" t="s">
        <v>102</v>
      </c>
      <c r="W117" s="4">
        <v>2021</v>
      </c>
      <c r="X117" s="4">
        <v>106.9</v>
      </c>
      <c r="Y117" s="16">
        <v>267250</v>
      </c>
      <c r="Z117" s="4">
        <v>9</v>
      </c>
      <c r="AA117" s="4">
        <v>32.71</v>
      </c>
      <c r="AB117" s="16">
        <v>178550</v>
      </c>
      <c r="AC117" s="4">
        <v>19</v>
      </c>
      <c r="AD117" s="4">
        <v>490</v>
      </c>
      <c r="AE117" s="16">
        <v>735000</v>
      </c>
      <c r="AF117" s="4">
        <v>32</v>
      </c>
      <c r="AG117" s="4">
        <v>1434.1599999999999</v>
      </c>
      <c r="AH117" s="16">
        <v>2151240</v>
      </c>
      <c r="AI117" s="4">
        <v>12</v>
      </c>
      <c r="AJ117" s="4">
        <v>0</v>
      </c>
      <c r="AK117" s="16">
        <v>0</v>
      </c>
      <c r="AL117" s="28">
        <v>0</v>
      </c>
      <c r="AM117" s="4"/>
      <c r="AN117" s="2" t="s">
        <v>101</v>
      </c>
      <c r="AO117" s="4">
        <v>2022</v>
      </c>
      <c r="AP117" s="4">
        <v>0</v>
      </c>
      <c r="AQ117" s="16">
        <v>0</v>
      </c>
      <c r="AR117" s="4">
        <v>0</v>
      </c>
      <c r="AS117" s="4"/>
      <c r="AT117" s="16"/>
      <c r="AU117" s="4">
        <v>0</v>
      </c>
      <c r="AV117" s="4">
        <v>0</v>
      </c>
      <c r="AW117" s="16">
        <v>0</v>
      </c>
      <c r="AX117" s="4">
        <v>0</v>
      </c>
      <c r="AY117" s="4">
        <v>0</v>
      </c>
      <c r="AZ117" s="16">
        <v>0</v>
      </c>
      <c r="BA117" s="4">
        <v>0</v>
      </c>
      <c r="BB117" s="4">
        <v>0</v>
      </c>
      <c r="BC117" s="16">
        <v>0</v>
      </c>
      <c r="BD117" s="4">
        <v>0</v>
      </c>
      <c r="BE117" s="4"/>
      <c r="BF117" s="4">
        <f t="shared" si="59"/>
        <v>237.69</v>
      </c>
      <c r="BG117" s="16">
        <f t="shared" si="60"/>
        <v>580575</v>
      </c>
      <c r="BH117" s="4">
        <f t="shared" si="61"/>
        <v>24</v>
      </c>
      <c r="BI117" s="4">
        <f t="shared" si="62"/>
        <v>93.800000000000011</v>
      </c>
      <c r="BJ117" s="16">
        <f t="shared" si="63"/>
        <v>484000</v>
      </c>
      <c r="BK117" s="4">
        <f t="shared" si="64"/>
        <v>49</v>
      </c>
      <c r="BL117" s="4">
        <f t="shared" si="65"/>
        <v>1360</v>
      </c>
      <c r="BM117" s="16">
        <f t="shared" si="66"/>
        <v>2040000</v>
      </c>
      <c r="BN117" s="4">
        <f t="shared" si="67"/>
        <v>97</v>
      </c>
      <c r="BO117" s="4">
        <f t="shared" si="68"/>
        <v>4409.4699999999993</v>
      </c>
      <c r="BP117" s="16">
        <f t="shared" si="69"/>
        <v>6614205</v>
      </c>
      <c r="BQ117" s="4">
        <f t="shared" si="70"/>
        <v>34</v>
      </c>
      <c r="BR117" s="4">
        <f t="shared" si="71"/>
        <v>2</v>
      </c>
      <c r="BS117" s="16">
        <f t="shared" si="72"/>
        <v>190000</v>
      </c>
      <c r="BT117" s="4">
        <f t="shared" si="73"/>
        <v>2</v>
      </c>
      <c r="BU117" s="4">
        <f t="shared" si="52"/>
        <v>6100.9599999999991</v>
      </c>
      <c r="BV117" s="16">
        <f t="shared" si="53"/>
        <v>9908780</v>
      </c>
      <c r="BW117" s="4">
        <f t="shared" si="54"/>
        <v>206</v>
      </c>
    </row>
    <row r="118" spans="1:75" x14ac:dyDescent="0.25">
      <c r="A118" s="2" t="s">
        <v>101</v>
      </c>
      <c r="B118" s="4">
        <v>2020</v>
      </c>
      <c r="C118" s="4">
        <v>0</v>
      </c>
      <c r="D118" s="4" t="str">
        <f t="shared" si="55"/>
        <v>$0.00</v>
      </c>
      <c r="E118" s="16">
        <v>0</v>
      </c>
      <c r="F118" s="4">
        <v>0</v>
      </c>
      <c r="G118" s="4">
        <v>0</v>
      </c>
      <c r="H118" s="4" t="str">
        <f t="shared" si="56"/>
        <v>$0.00</v>
      </c>
      <c r="I118" s="16">
        <v>0</v>
      </c>
      <c r="J118" s="4">
        <v>0</v>
      </c>
      <c r="K118" s="4">
        <v>0</v>
      </c>
      <c r="L118" s="4" t="str">
        <f t="shared" si="57"/>
        <v>$0.00</v>
      </c>
      <c r="M118" s="16">
        <v>0</v>
      </c>
      <c r="N118" s="4">
        <v>0</v>
      </c>
      <c r="O118" s="4">
        <v>0</v>
      </c>
      <c r="P118" s="4" t="str">
        <f t="shared" si="58"/>
        <v>$0.00</v>
      </c>
      <c r="Q118" s="16">
        <v>0</v>
      </c>
      <c r="R118" s="4">
        <v>0</v>
      </c>
      <c r="S118" s="4">
        <v>0</v>
      </c>
      <c r="T118" s="16">
        <v>0</v>
      </c>
      <c r="U118" s="4">
        <v>0</v>
      </c>
      <c r="V118" s="4" t="s">
        <v>144</v>
      </c>
      <c r="W118" s="4">
        <v>2021</v>
      </c>
      <c r="X118" s="4">
        <v>22.53</v>
      </c>
      <c r="Y118" s="16">
        <v>56325</v>
      </c>
      <c r="Z118" s="4">
        <v>2</v>
      </c>
      <c r="AA118" s="4">
        <v>6.8</v>
      </c>
      <c r="AB118" s="16">
        <v>34000</v>
      </c>
      <c r="AC118" s="4">
        <v>3</v>
      </c>
      <c r="AD118" s="4">
        <v>100</v>
      </c>
      <c r="AE118" s="16">
        <v>150000</v>
      </c>
      <c r="AF118" s="4">
        <v>17</v>
      </c>
      <c r="AG118" s="4">
        <v>1274.47</v>
      </c>
      <c r="AH118" s="16">
        <v>1911705</v>
      </c>
      <c r="AI118" s="4">
        <v>9</v>
      </c>
      <c r="AJ118" s="4">
        <v>3</v>
      </c>
      <c r="AK118" s="16">
        <v>285000</v>
      </c>
      <c r="AL118" s="28">
        <v>3</v>
      </c>
      <c r="AM118" s="4"/>
      <c r="AN118" s="2" t="s">
        <v>102</v>
      </c>
      <c r="AO118" s="4">
        <v>2022</v>
      </c>
      <c r="AP118" s="4">
        <v>97.49</v>
      </c>
      <c r="AQ118" s="16">
        <v>243725</v>
      </c>
      <c r="AR118" s="4">
        <v>9</v>
      </c>
      <c r="AS118" s="4">
        <v>12.4</v>
      </c>
      <c r="AT118" s="16">
        <v>62000</v>
      </c>
      <c r="AU118" s="4">
        <v>6</v>
      </c>
      <c r="AV118" s="4">
        <v>504</v>
      </c>
      <c r="AW118" s="16">
        <v>756000</v>
      </c>
      <c r="AX118" s="4">
        <v>34</v>
      </c>
      <c r="AY118" s="4">
        <v>1876.16</v>
      </c>
      <c r="AZ118" s="16">
        <v>2814240</v>
      </c>
      <c r="BA118" s="4">
        <v>13</v>
      </c>
      <c r="BB118" s="4">
        <v>1</v>
      </c>
      <c r="BC118" s="16">
        <v>30000</v>
      </c>
      <c r="BD118" s="4">
        <v>1</v>
      </c>
      <c r="BE118" s="4"/>
      <c r="BF118" s="4">
        <f t="shared" si="59"/>
        <v>55.53</v>
      </c>
      <c r="BG118" s="16">
        <f t="shared" si="60"/>
        <v>135325</v>
      </c>
      <c r="BH118" s="4">
        <f t="shared" si="61"/>
        <v>6</v>
      </c>
      <c r="BI118" s="4">
        <f t="shared" si="62"/>
        <v>17.899999999999999</v>
      </c>
      <c r="BJ118" s="16">
        <f t="shared" si="63"/>
        <v>89500</v>
      </c>
      <c r="BK118" s="4">
        <f t="shared" si="64"/>
        <v>8</v>
      </c>
      <c r="BL118" s="4">
        <f t="shared" si="65"/>
        <v>328</v>
      </c>
      <c r="BM118" s="16">
        <f t="shared" si="66"/>
        <v>492000</v>
      </c>
      <c r="BN118" s="4">
        <f t="shared" si="67"/>
        <v>61</v>
      </c>
      <c r="BO118" s="4">
        <f t="shared" si="68"/>
        <v>3922.8100000000004</v>
      </c>
      <c r="BP118" s="16">
        <f t="shared" si="69"/>
        <v>5884215</v>
      </c>
      <c r="BQ118" s="4">
        <f t="shared" si="70"/>
        <v>29</v>
      </c>
      <c r="BR118" s="4">
        <f t="shared" si="71"/>
        <v>7</v>
      </c>
      <c r="BS118" s="16">
        <f t="shared" si="72"/>
        <v>533671</v>
      </c>
      <c r="BT118" s="4">
        <f t="shared" si="73"/>
        <v>7</v>
      </c>
      <c r="BU118" s="4">
        <f t="shared" si="52"/>
        <v>4324.2400000000007</v>
      </c>
      <c r="BV118" s="16">
        <f t="shared" si="53"/>
        <v>7134711</v>
      </c>
      <c r="BW118" s="4">
        <f t="shared" si="54"/>
        <v>111</v>
      </c>
    </row>
    <row r="119" spans="1:75" x14ac:dyDescent="0.25">
      <c r="A119" s="2" t="s">
        <v>102</v>
      </c>
      <c r="B119" s="4">
        <v>2020</v>
      </c>
      <c r="C119" s="4">
        <v>33.299999999999997</v>
      </c>
      <c r="D119" s="4" t="str">
        <f t="shared" si="55"/>
        <v>$69,600.00</v>
      </c>
      <c r="E119" s="16">
        <v>69600</v>
      </c>
      <c r="F119" s="4">
        <v>6</v>
      </c>
      <c r="G119" s="4">
        <v>48.69</v>
      </c>
      <c r="H119" s="4" t="str">
        <f t="shared" si="56"/>
        <v>$243,450.00</v>
      </c>
      <c r="I119" s="16">
        <v>243450</v>
      </c>
      <c r="J119" s="4">
        <v>24</v>
      </c>
      <c r="K119" s="4">
        <v>366</v>
      </c>
      <c r="L119" s="4" t="str">
        <f t="shared" si="57"/>
        <v>$549,000.00</v>
      </c>
      <c r="M119" s="16">
        <v>549000</v>
      </c>
      <c r="N119" s="4">
        <v>31</v>
      </c>
      <c r="O119" s="4">
        <v>1099.1499999999999</v>
      </c>
      <c r="P119" s="4" t="str">
        <f t="shared" si="58"/>
        <v>$1,648,725.00</v>
      </c>
      <c r="Q119" s="16">
        <v>1648724.9999999998</v>
      </c>
      <c r="R119" s="4">
        <v>9</v>
      </c>
      <c r="S119" s="4">
        <v>1</v>
      </c>
      <c r="T119" s="16">
        <v>160000</v>
      </c>
      <c r="U119" s="4">
        <v>1</v>
      </c>
      <c r="V119" s="4" t="s">
        <v>103</v>
      </c>
      <c r="W119" s="4">
        <v>2021</v>
      </c>
      <c r="X119" s="4">
        <v>45.8</v>
      </c>
      <c r="Y119" s="16">
        <v>114500</v>
      </c>
      <c r="Z119" s="4">
        <v>4</v>
      </c>
      <c r="AA119" s="4">
        <v>9</v>
      </c>
      <c r="AB119" s="16">
        <v>45000</v>
      </c>
      <c r="AC119" s="4">
        <v>2</v>
      </c>
      <c r="AD119" s="4">
        <v>28</v>
      </c>
      <c r="AE119" s="16">
        <v>42000</v>
      </c>
      <c r="AF119" s="4">
        <v>2</v>
      </c>
      <c r="AG119" s="4">
        <v>1302.6100000000001</v>
      </c>
      <c r="AH119" s="16">
        <v>1953915.0000000002</v>
      </c>
      <c r="AI119" s="4">
        <v>7</v>
      </c>
      <c r="AJ119" s="4">
        <v>0</v>
      </c>
      <c r="AK119" s="16">
        <v>0</v>
      </c>
      <c r="AL119" s="28">
        <v>0</v>
      </c>
      <c r="AM119" s="4"/>
      <c r="AN119" s="2" t="s">
        <v>144</v>
      </c>
      <c r="AO119" s="4">
        <v>2022</v>
      </c>
      <c r="AP119" s="4">
        <v>26</v>
      </c>
      <c r="AQ119" s="16">
        <v>65000</v>
      </c>
      <c r="AR119" s="4">
        <v>3</v>
      </c>
      <c r="AS119" s="4">
        <v>4</v>
      </c>
      <c r="AT119" s="16">
        <v>20000</v>
      </c>
      <c r="AU119" s="4">
        <v>2</v>
      </c>
      <c r="AV119" s="4">
        <v>113</v>
      </c>
      <c r="AW119" s="16">
        <v>169500</v>
      </c>
      <c r="AX119" s="4">
        <v>22</v>
      </c>
      <c r="AY119" s="4">
        <v>1273.1300000000001</v>
      </c>
      <c r="AZ119" s="16">
        <v>1909695</v>
      </c>
      <c r="BA119" s="4">
        <v>11</v>
      </c>
      <c r="BB119" s="4">
        <v>1</v>
      </c>
      <c r="BC119" s="16">
        <v>140000</v>
      </c>
      <c r="BD119" s="4">
        <v>1</v>
      </c>
      <c r="BE119" s="4"/>
      <c r="BF119" s="4">
        <f t="shared" si="59"/>
        <v>146.57999999999998</v>
      </c>
      <c r="BG119" s="16">
        <f t="shared" si="60"/>
        <v>331560</v>
      </c>
      <c r="BH119" s="4">
        <f t="shared" si="61"/>
        <v>9</v>
      </c>
      <c r="BI119" s="4">
        <f t="shared" si="62"/>
        <v>9</v>
      </c>
      <c r="BJ119" s="16">
        <f t="shared" si="63"/>
        <v>45000</v>
      </c>
      <c r="BK119" s="4">
        <f t="shared" si="64"/>
        <v>2</v>
      </c>
      <c r="BL119" s="4">
        <f t="shared" si="65"/>
        <v>86</v>
      </c>
      <c r="BM119" s="16">
        <f t="shared" si="66"/>
        <v>129000</v>
      </c>
      <c r="BN119" s="4">
        <f t="shared" si="67"/>
        <v>5</v>
      </c>
      <c r="BO119" s="4">
        <f t="shared" si="68"/>
        <v>3893.2200000000003</v>
      </c>
      <c r="BP119" s="16">
        <f t="shared" si="69"/>
        <v>5839830</v>
      </c>
      <c r="BQ119" s="4">
        <f t="shared" si="70"/>
        <v>21</v>
      </c>
      <c r="BR119" s="4">
        <f t="shared" si="71"/>
        <v>3</v>
      </c>
      <c r="BS119" s="16">
        <f t="shared" si="72"/>
        <v>387142.86</v>
      </c>
      <c r="BT119" s="4">
        <f t="shared" si="73"/>
        <v>3</v>
      </c>
      <c r="BU119" s="4">
        <f t="shared" si="52"/>
        <v>4134.8</v>
      </c>
      <c r="BV119" s="16">
        <f t="shared" si="53"/>
        <v>6732532.8600000003</v>
      </c>
      <c r="BW119" s="4">
        <f t="shared" si="54"/>
        <v>40</v>
      </c>
    </row>
    <row r="120" spans="1:75" x14ac:dyDescent="0.25">
      <c r="A120" s="2" t="s">
        <v>144</v>
      </c>
      <c r="B120" s="4">
        <v>2020</v>
      </c>
      <c r="C120" s="4">
        <v>7</v>
      </c>
      <c r="D120" s="4" t="str">
        <f t="shared" si="55"/>
        <v>$14,000.00</v>
      </c>
      <c r="E120" s="16">
        <v>14000</v>
      </c>
      <c r="F120" s="4">
        <v>1</v>
      </c>
      <c r="G120" s="4">
        <v>7.1</v>
      </c>
      <c r="H120" s="4" t="str">
        <f t="shared" si="56"/>
        <v>$35,500.00</v>
      </c>
      <c r="I120" s="16">
        <v>35500</v>
      </c>
      <c r="J120" s="4">
        <v>3</v>
      </c>
      <c r="K120" s="4">
        <v>115</v>
      </c>
      <c r="L120" s="4" t="str">
        <f t="shared" si="57"/>
        <v>$172,500.00</v>
      </c>
      <c r="M120" s="16">
        <v>172500</v>
      </c>
      <c r="N120" s="4">
        <v>22</v>
      </c>
      <c r="O120" s="4">
        <v>1375.21</v>
      </c>
      <c r="P120" s="4" t="str">
        <f t="shared" si="58"/>
        <v>$2,062,815.00</v>
      </c>
      <c r="Q120" s="16">
        <v>2062815</v>
      </c>
      <c r="R120" s="4">
        <v>9</v>
      </c>
      <c r="S120" s="4">
        <v>3</v>
      </c>
      <c r="T120" s="16">
        <v>108671</v>
      </c>
      <c r="U120" s="4">
        <v>3</v>
      </c>
      <c r="V120" s="4" t="s">
        <v>104</v>
      </c>
      <c r="W120" s="4">
        <v>2021</v>
      </c>
      <c r="X120" s="4">
        <v>72.699999999999989</v>
      </c>
      <c r="Y120" s="16">
        <v>181749.99999999997</v>
      </c>
      <c r="Z120" s="4">
        <v>10</v>
      </c>
      <c r="AA120" s="4">
        <v>19.25</v>
      </c>
      <c r="AB120" s="16">
        <v>96250</v>
      </c>
      <c r="AC120" s="4">
        <v>9</v>
      </c>
      <c r="AD120" s="4">
        <v>397</v>
      </c>
      <c r="AE120" s="16">
        <v>595500</v>
      </c>
      <c r="AF120" s="4">
        <v>24</v>
      </c>
      <c r="AG120" s="4">
        <v>1578.4</v>
      </c>
      <c r="AH120" s="16">
        <v>2367600</v>
      </c>
      <c r="AI120" s="4">
        <v>11</v>
      </c>
      <c r="AJ120" s="4">
        <v>1</v>
      </c>
      <c r="AK120" s="16">
        <v>30000</v>
      </c>
      <c r="AL120" s="28">
        <v>1</v>
      </c>
      <c r="AM120" s="4"/>
      <c r="AN120" s="2" t="s">
        <v>103</v>
      </c>
      <c r="AO120" s="4">
        <v>2022</v>
      </c>
      <c r="AP120" s="4">
        <v>31</v>
      </c>
      <c r="AQ120" s="16">
        <v>77500</v>
      </c>
      <c r="AR120" s="4">
        <v>2</v>
      </c>
      <c r="AS120" s="4"/>
      <c r="AT120" s="16"/>
      <c r="AU120" s="4">
        <v>0</v>
      </c>
      <c r="AV120" s="4">
        <v>48</v>
      </c>
      <c r="AW120" s="16">
        <v>72000</v>
      </c>
      <c r="AX120" s="4">
        <v>2</v>
      </c>
      <c r="AY120" s="4">
        <v>1332.61</v>
      </c>
      <c r="AZ120" s="16">
        <v>1998915</v>
      </c>
      <c r="BA120" s="4">
        <v>8</v>
      </c>
      <c r="BB120" s="4">
        <v>0</v>
      </c>
      <c r="BC120" s="16">
        <v>0</v>
      </c>
      <c r="BD120" s="4">
        <v>0</v>
      </c>
      <c r="BE120" s="4"/>
      <c r="BF120" s="4">
        <f t="shared" si="59"/>
        <v>282.52999999999997</v>
      </c>
      <c r="BG120" s="16">
        <f t="shared" si="60"/>
        <v>664020</v>
      </c>
      <c r="BH120" s="4">
        <f t="shared" si="61"/>
        <v>33</v>
      </c>
      <c r="BI120" s="4">
        <f t="shared" si="62"/>
        <v>28.35</v>
      </c>
      <c r="BJ120" s="16">
        <f t="shared" si="63"/>
        <v>141750</v>
      </c>
      <c r="BK120" s="4">
        <f t="shared" si="64"/>
        <v>13</v>
      </c>
      <c r="BL120" s="4">
        <f t="shared" si="65"/>
        <v>1312</v>
      </c>
      <c r="BM120" s="16">
        <f t="shared" si="66"/>
        <v>1968000</v>
      </c>
      <c r="BN120" s="4">
        <f t="shared" si="67"/>
        <v>72</v>
      </c>
      <c r="BO120" s="4">
        <f t="shared" si="68"/>
        <v>4097.8</v>
      </c>
      <c r="BP120" s="16">
        <f t="shared" si="69"/>
        <v>6146700</v>
      </c>
      <c r="BQ120" s="4">
        <f t="shared" si="70"/>
        <v>31</v>
      </c>
      <c r="BR120" s="4">
        <f t="shared" si="71"/>
        <v>2</v>
      </c>
      <c r="BS120" s="16">
        <f t="shared" si="72"/>
        <v>60000</v>
      </c>
      <c r="BT120" s="4">
        <f t="shared" si="73"/>
        <v>2</v>
      </c>
      <c r="BU120" s="4">
        <f t="shared" si="52"/>
        <v>5720.68</v>
      </c>
      <c r="BV120" s="16">
        <f t="shared" si="53"/>
        <v>8980470</v>
      </c>
      <c r="BW120" s="4">
        <f t="shared" si="54"/>
        <v>151</v>
      </c>
    </row>
    <row r="121" spans="1:75" x14ac:dyDescent="0.25">
      <c r="A121" s="2" t="s">
        <v>103</v>
      </c>
      <c r="B121" s="4">
        <v>2020</v>
      </c>
      <c r="C121" s="4">
        <v>69.78</v>
      </c>
      <c r="D121" s="4" t="str">
        <f t="shared" si="55"/>
        <v>$139,560.00</v>
      </c>
      <c r="E121" s="16">
        <v>139560</v>
      </c>
      <c r="F121" s="4">
        <v>3</v>
      </c>
      <c r="G121" s="4">
        <v>0</v>
      </c>
      <c r="H121" s="4" t="str">
        <f t="shared" si="56"/>
        <v>$0.00</v>
      </c>
      <c r="I121" s="16">
        <v>0</v>
      </c>
      <c r="J121" s="4">
        <v>0</v>
      </c>
      <c r="K121" s="4">
        <v>10</v>
      </c>
      <c r="L121" s="4" t="str">
        <f t="shared" si="57"/>
        <v>$15,000.00</v>
      </c>
      <c r="M121" s="16">
        <v>15000</v>
      </c>
      <c r="N121" s="4">
        <v>1</v>
      </c>
      <c r="O121" s="4">
        <v>1258</v>
      </c>
      <c r="P121" s="4" t="str">
        <f t="shared" si="58"/>
        <v>$1,887,000.00</v>
      </c>
      <c r="Q121" s="16">
        <v>1887000</v>
      </c>
      <c r="R121" s="4">
        <v>6</v>
      </c>
      <c r="S121" s="4">
        <v>3</v>
      </c>
      <c r="T121" s="16">
        <v>387142.86</v>
      </c>
      <c r="U121" s="4">
        <v>3</v>
      </c>
      <c r="V121" s="4" t="s">
        <v>105</v>
      </c>
      <c r="W121" s="4">
        <v>2021</v>
      </c>
      <c r="X121" s="4">
        <v>35</v>
      </c>
      <c r="Y121" s="16">
        <v>87500</v>
      </c>
      <c r="Z121" s="4">
        <v>1</v>
      </c>
      <c r="AA121" s="4">
        <v>0</v>
      </c>
      <c r="AB121" s="16">
        <v>0</v>
      </c>
      <c r="AC121" s="4">
        <v>0</v>
      </c>
      <c r="AD121" s="4">
        <v>12</v>
      </c>
      <c r="AE121" s="16">
        <v>18000</v>
      </c>
      <c r="AF121" s="4">
        <v>2</v>
      </c>
      <c r="AG121" s="4">
        <v>300</v>
      </c>
      <c r="AH121" s="16">
        <v>450000</v>
      </c>
      <c r="AI121" s="4">
        <v>1</v>
      </c>
      <c r="AJ121" s="4">
        <v>0</v>
      </c>
      <c r="AK121" s="16">
        <v>0</v>
      </c>
      <c r="AL121" s="28">
        <v>0</v>
      </c>
      <c r="AM121" s="4"/>
      <c r="AN121" s="2" t="s">
        <v>104</v>
      </c>
      <c r="AO121" s="4">
        <v>2022</v>
      </c>
      <c r="AP121" s="4">
        <v>102.71999999999998</v>
      </c>
      <c r="AQ121" s="16">
        <v>256799.99999999997</v>
      </c>
      <c r="AR121" s="4">
        <v>13</v>
      </c>
      <c r="AS121" s="4">
        <v>4.5</v>
      </c>
      <c r="AT121" s="16">
        <v>22500</v>
      </c>
      <c r="AU121" s="4">
        <v>1</v>
      </c>
      <c r="AV121" s="4">
        <v>427</v>
      </c>
      <c r="AW121" s="16">
        <v>640500</v>
      </c>
      <c r="AX121" s="4">
        <v>23</v>
      </c>
      <c r="AY121" s="4">
        <v>1513.51</v>
      </c>
      <c r="AZ121" s="16">
        <v>2270265</v>
      </c>
      <c r="BA121" s="4">
        <v>13</v>
      </c>
      <c r="BB121" s="4">
        <v>0</v>
      </c>
      <c r="BC121" s="16">
        <v>0</v>
      </c>
      <c r="BD121" s="4">
        <v>0</v>
      </c>
      <c r="BE121" s="4"/>
      <c r="BF121" s="4">
        <f t="shared" si="59"/>
        <v>165.63</v>
      </c>
      <c r="BG121" s="16">
        <f t="shared" si="60"/>
        <v>389860</v>
      </c>
      <c r="BH121" s="4">
        <f t="shared" si="61"/>
        <v>4</v>
      </c>
      <c r="BI121" s="4">
        <f t="shared" si="62"/>
        <v>55</v>
      </c>
      <c r="BJ121" s="16">
        <f t="shared" si="63"/>
        <v>275000</v>
      </c>
      <c r="BK121" s="4">
        <f t="shared" si="64"/>
        <v>1</v>
      </c>
      <c r="BL121" s="4">
        <f t="shared" si="65"/>
        <v>28</v>
      </c>
      <c r="BM121" s="16">
        <f t="shared" si="66"/>
        <v>42000</v>
      </c>
      <c r="BN121" s="4">
        <f t="shared" si="67"/>
        <v>5</v>
      </c>
      <c r="BO121" s="4">
        <f t="shared" si="68"/>
        <v>852</v>
      </c>
      <c r="BP121" s="16">
        <f t="shared" si="69"/>
        <v>1278000</v>
      </c>
      <c r="BQ121" s="4">
        <f t="shared" si="70"/>
        <v>3</v>
      </c>
      <c r="BR121" s="4">
        <f t="shared" si="71"/>
        <v>0</v>
      </c>
      <c r="BS121" s="16">
        <f t="shared" si="72"/>
        <v>0</v>
      </c>
      <c r="BT121" s="4">
        <f t="shared" si="73"/>
        <v>0</v>
      </c>
      <c r="BU121" s="4">
        <f t="shared" si="52"/>
        <v>1100.6300000000001</v>
      </c>
      <c r="BV121" s="16">
        <f t="shared" si="53"/>
        <v>1984860</v>
      </c>
      <c r="BW121" s="4">
        <f t="shared" si="54"/>
        <v>13</v>
      </c>
    </row>
    <row r="122" spans="1:75" x14ac:dyDescent="0.25">
      <c r="A122" s="2" t="s">
        <v>104</v>
      </c>
      <c r="B122" s="4">
        <v>2020</v>
      </c>
      <c r="C122" s="4">
        <v>107.11</v>
      </c>
      <c r="D122" s="4" t="str">
        <f t="shared" si="55"/>
        <v>$225,470.00</v>
      </c>
      <c r="E122" s="16">
        <v>225470</v>
      </c>
      <c r="F122" s="4">
        <v>10</v>
      </c>
      <c r="G122" s="4">
        <v>4.5999999999999996</v>
      </c>
      <c r="H122" s="4" t="str">
        <f t="shared" si="56"/>
        <v>$23,000.00</v>
      </c>
      <c r="I122" s="16">
        <v>23000</v>
      </c>
      <c r="J122" s="4">
        <v>3</v>
      </c>
      <c r="K122" s="4">
        <v>488</v>
      </c>
      <c r="L122" s="4" t="str">
        <f t="shared" si="57"/>
        <v>$732,000.00</v>
      </c>
      <c r="M122" s="16">
        <v>732000</v>
      </c>
      <c r="N122" s="4">
        <v>25</v>
      </c>
      <c r="O122" s="4">
        <v>1005.89</v>
      </c>
      <c r="P122" s="4" t="str">
        <f t="shared" si="58"/>
        <v>$1,508,835.00</v>
      </c>
      <c r="Q122" s="16">
        <v>1508835</v>
      </c>
      <c r="R122" s="4">
        <v>7</v>
      </c>
      <c r="S122" s="4">
        <v>1</v>
      </c>
      <c r="T122" s="16">
        <v>30000</v>
      </c>
      <c r="U122" s="4">
        <v>1</v>
      </c>
      <c r="V122" s="4" t="s">
        <v>138</v>
      </c>
      <c r="W122" s="4">
        <v>2021</v>
      </c>
      <c r="X122" s="4">
        <v>0</v>
      </c>
      <c r="Y122" s="16">
        <v>0</v>
      </c>
      <c r="Z122" s="4">
        <v>0</v>
      </c>
      <c r="AA122" s="4">
        <v>6.7</v>
      </c>
      <c r="AB122" s="16">
        <v>33500</v>
      </c>
      <c r="AC122" s="4">
        <v>3</v>
      </c>
      <c r="AD122" s="4">
        <v>4</v>
      </c>
      <c r="AE122" s="16">
        <v>6000</v>
      </c>
      <c r="AF122" s="4">
        <v>2</v>
      </c>
      <c r="AG122" s="4">
        <v>395.69</v>
      </c>
      <c r="AH122" s="16">
        <v>593535</v>
      </c>
      <c r="AI122" s="4">
        <v>2</v>
      </c>
      <c r="AJ122" s="4">
        <v>0</v>
      </c>
      <c r="AK122" s="16">
        <v>0</v>
      </c>
      <c r="AL122" s="28">
        <v>0</v>
      </c>
      <c r="AM122" s="4"/>
      <c r="AN122" s="2" t="s">
        <v>105</v>
      </c>
      <c r="AO122" s="4">
        <v>2022</v>
      </c>
      <c r="AP122" s="4">
        <v>82.2</v>
      </c>
      <c r="AQ122" s="16">
        <v>205500</v>
      </c>
      <c r="AR122" s="4">
        <v>1</v>
      </c>
      <c r="AS122" s="4"/>
      <c r="AT122" s="16"/>
      <c r="AU122" s="4">
        <v>0</v>
      </c>
      <c r="AV122" s="4">
        <v>12</v>
      </c>
      <c r="AW122" s="16">
        <v>18000</v>
      </c>
      <c r="AX122" s="4">
        <v>2</v>
      </c>
      <c r="AY122" s="4">
        <v>300</v>
      </c>
      <c r="AZ122" s="16">
        <v>450000</v>
      </c>
      <c r="BA122" s="4">
        <v>1</v>
      </c>
      <c r="BB122" s="4">
        <v>0</v>
      </c>
      <c r="BC122" s="16">
        <v>0</v>
      </c>
      <c r="BD122" s="4">
        <v>0</v>
      </c>
      <c r="BE122" s="4"/>
      <c r="BF122" s="4">
        <f t="shared" si="59"/>
        <v>1</v>
      </c>
      <c r="BG122" s="16">
        <f t="shared" si="60"/>
        <v>2000</v>
      </c>
      <c r="BH122" s="4">
        <f t="shared" si="61"/>
        <v>1</v>
      </c>
      <c r="BI122" s="4">
        <f t="shared" si="62"/>
        <v>13.399999999999999</v>
      </c>
      <c r="BJ122" s="16">
        <f t="shared" si="63"/>
        <v>67000</v>
      </c>
      <c r="BK122" s="4">
        <f t="shared" si="64"/>
        <v>9</v>
      </c>
      <c r="BL122" s="4">
        <f t="shared" si="65"/>
        <v>9</v>
      </c>
      <c r="BM122" s="16">
        <f t="shared" si="66"/>
        <v>13500</v>
      </c>
      <c r="BN122" s="4">
        <f t="shared" si="67"/>
        <v>5</v>
      </c>
      <c r="BO122" s="4">
        <f t="shared" si="68"/>
        <v>995.06999999999994</v>
      </c>
      <c r="BP122" s="16">
        <f t="shared" si="69"/>
        <v>1492605</v>
      </c>
      <c r="BQ122" s="4">
        <f t="shared" si="70"/>
        <v>4</v>
      </c>
      <c r="BR122" s="4">
        <f t="shared" si="71"/>
        <v>0</v>
      </c>
      <c r="BS122" s="16">
        <f t="shared" si="72"/>
        <v>0</v>
      </c>
      <c r="BT122" s="4">
        <f t="shared" si="73"/>
        <v>0</v>
      </c>
      <c r="BU122" s="4">
        <f t="shared" si="52"/>
        <v>1018.4699999999999</v>
      </c>
      <c r="BV122" s="16">
        <f t="shared" si="53"/>
        <v>1575105</v>
      </c>
      <c r="BW122" s="4">
        <f t="shared" si="54"/>
        <v>19</v>
      </c>
    </row>
    <row r="123" spans="1:75" x14ac:dyDescent="0.25">
      <c r="A123" s="2" t="s">
        <v>105</v>
      </c>
      <c r="B123" s="4">
        <v>2020</v>
      </c>
      <c r="C123" s="4">
        <v>48.43</v>
      </c>
      <c r="D123" s="4" t="str">
        <f t="shared" si="55"/>
        <v>$96,860.00</v>
      </c>
      <c r="E123" s="16">
        <v>96860</v>
      </c>
      <c r="F123" s="4">
        <v>2</v>
      </c>
      <c r="G123" s="4">
        <v>55</v>
      </c>
      <c r="H123" s="4" t="str">
        <f t="shared" si="56"/>
        <v>$275,000.00</v>
      </c>
      <c r="I123" s="16">
        <v>275000</v>
      </c>
      <c r="J123" s="4">
        <v>1</v>
      </c>
      <c r="K123" s="4">
        <v>4</v>
      </c>
      <c r="L123" s="4" t="str">
        <f t="shared" si="57"/>
        <v>$6,000.00</v>
      </c>
      <c r="M123" s="16">
        <v>6000</v>
      </c>
      <c r="N123" s="4">
        <v>1</v>
      </c>
      <c r="O123" s="4">
        <v>252</v>
      </c>
      <c r="P123" s="4" t="str">
        <f t="shared" si="58"/>
        <v>$378,000.00</v>
      </c>
      <c r="Q123" s="16">
        <v>378000</v>
      </c>
      <c r="R123" s="4">
        <v>1</v>
      </c>
      <c r="S123" s="4">
        <v>0</v>
      </c>
      <c r="T123" s="16">
        <v>0</v>
      </c>
      <c r="U123" s="4">
        <v>0</v>
      </c>
      <c r="V123" s="4" t="s">
        <v>106</v>
      </c>
      <c r="W123" s="4">
        <v>2021</v>
      </c>
      <c r="X123" s="4">
        <v>0</v>
      </c>
      <c r="Y123" s="16">
        <v>0</v>
      </c>
      <c r="Z123" s="4">
        <v>0</v>
      </c>
      <c r="AA123" s="4">
        <v>0.1</v>
      </c>
      <c r="AB123" s="16">
        <v>500</v>
      </c>
      <c r="AC123" s="4">
        <v>1</v>
      </c>
      <c r="AD123" s="4">
        <v>0</v>
      </c>
      <c r="AE123" s="16">
        <v>0</v>
      </c>
      <c r="AF123" s="4">
        <v>0</v>
      </c>
      <c r="AG123" s="4">
        <v>87</v>
      </c>
      <c r="AH123" s="16">
        <v>130500</v>
      </c>
      <c r="AI123" s="4">
        <v>2</v>
      </c>
      <c r="AJ123" s="4">
        <v>0</v>
      </c>
      <c r="AK123" s="16">
        <v>0</v>
      </c>
      <c r="AL123" s="28">
        <v>0</v>
      </c>
      <c r="AM123" s="4"/>
      <c r="AN123" s="2" t="s">
        <v>138</v>
      </c>
      <c r="AO123" s="4">
        <v>2022</v>
      </c>
      <c r="AP123" s="4">
        <v>0</v>
      </c>
      <c r="AQ123" s="16">
        <v>0</v>
      </c>
      <c r="AR123" s="4">
        <v>0</v>
      </c>
      <c r="AS123" s="4">
        <v>2.2000000000000002</v>
      </c>
      <c r="AT123" s="16">
        <v>11000</v>
      </c>
      <c r="AU123" s="4">
        <v>2</v>
      </c>
      <c r="AV123" s="4">
        <v>1</v>
      </c>
      <c r="AW123" s="16">
        <v>1500</v>
      </c>
      <c r="AX123" s="4">
        <v>1</v>
      </c>
      <c r="AY123" s="4">
        <v>299.69</v>
      </c>
      <c r="AZ123" s="16">
        <v>449535</v>
      </c>
      <c r="BA123" s="4">
        <v>1</v>
      </c>
      <c r="BB123" s="4">
        <v>0</v>
      </c>
      <c r="BC123" s="16">
        <v>0</v>
      </c>
      <c r="BD123" s="4">
        <v>0</v>
      </c>
      <c r="BE123" s="4"/>
      <c r="BF123" s="4">
        <f t="shared" si="59"/>
        <v>0</v>
      </c>
      <c r="BG123" s="16">
        <f t="shared" si="60"/>
        <v>0</v>
      </c>
      <c r="BH123" s="4">
        <f t="shared" si="61"/>
        <v>0</v>
      </c>
      <c r="BI123" s="4">
        <f t="shared" si="62"/>
        <v>0.1</v>
      </c>
      <c r="BJ123" s="16">
        <f t="shared" si="63"/>
        <v>500</v>
      </c>
      <c r="BK123" s="4">
        <f t="shared" si="64"/>
        <v>1</v>
      </c>
      <c r="BL123" s="4">
        <f t="shared" si="65"/>
        <v>0</v>
      </c>
      <c r="BM123" s="16">
        <f t="shared" si="66"/>
        <v>0</v>
      </c>
      <c r="BN123" s="4">
        <f t="shared" si="67"/>
        <v>0</v>
      </c>
      <c r="BO123" s="4">
        <f t="shared" si="68"/>
        <v>516</v>
      </c>
      <c r="BP123" s="16">
        <f t="shared" si="69"/>
        <v>774000</v>
      </c>
      <c r="BQ123" s="4">
        <f t="shared" si="70"/>
        <v>7</v>
      </c>
      <c r="BR123" s="4">
        <f t="shared" si="71"/>
        <v>0</v>
      </c>
      <c r="BS123" s="16">
        <f t="shared" si="72"/>
        <v>0</v>
      </c>
      <c r="BT123" s="4">
        <f t="shared" si="73"/>
        <v>0</v>
      </c>
      <c r="BU123" s="4">
        <f t="shared" si="52"/>
        <v>516.1</v>
      </c>
      <c r="BV123" s="16">
        <f t="shared" si="53"/>
        <v>774500</v>
      </c>
      <c r="BW123" s="4">
        <f t="shared" si="54"/>
        <v>8</v>
      </c>
    </row>
    <row r="124" spans="1:75" x14ac:dyDescent="0.25">
      <c r="A124" s="2" t="s">
        <v>138</v>
      </c>
      <c r="B124" s="4">
        <v>2020</v>
      </c>
      <c r="C124" s="4">
        <v>1</v>
      </c>
      <c r="D124" s="4" t="str">
        <f t="shared" si="55"/>
        <v>$2,000.00</v>
      </c>
      <c r="E124" s="16">
        <v>2000</v>
      </c>
      <c r="F124" s="4">
        <v>1</v>
      </c>
      <c r="G124" s="4">
        <v>4.5</v>
      </c>
      <c r="H124" s="4" t="str">
        <f t="shared" si="56"/>
        <v>$22,500.00</v>
      </c>
      <c r="I124" s="16">
        <v>22500</v>
      </c>
      <c r="J124" s="4">
        <v>4</v>
      </c>
      <c r="K124" s="4">
        <v>4</v>
      </c>
      <c r="L124" s="4" t="str">
        <f t="shared" si="57"/>
        <v>$6,000.00</v>
      </c>
      <c r="M124" s="16">
        <v>6000</v>
      </c>
      <c r="N124" s="4">
        <v>2</v>
      </c>
      <c r="O124" s="4">
        <v>299.69</v>
      </c>
      <c r="P124" s="4" t="str">
        <f t="shared" si="58"/>
        <v>$449,535.00</v>
      </c>
      <c r="Q124" s="16">
        <v>449535</v>
      </c>
      <c r="R124" s="4">
        <v>1</v>
      </c>
      <c r="S124" s="4">
        <v>0</v>
      </c>
      <c r="T124" s="16">
        <v>0</v>
      </c>
      <c r="U124" s="4">
        <v>0</v>
      </c>
      <c r="V124" s="4" t="s">
        <v>107</v>
      </c>
      <c r="W124" s="4">
        <v>2021</v>
      </c>
      <c r="X124" s="4">
        <v>2.1</v>
      </c>
      <c r="Y124" s="16">
        <v>5250</v>
      </c>
      <c r="Z124" s="4">
        <v>1</v>
      </c>
      <c r="AA124" s="4">
        <v>115.81</v>
      </c>
      <c r="AB124" s="16">
        <v>534050</v>
      </c>
      <c r="AC124" s="4">
        <v>27</v>
      </c>
      <c r="AD124" s="4">
        <v>0</v>
      </c>
      <c r="AE124" s="16">
        <v>0</v>
      </c>
      <c r="AF124" s="4">
        <v>0</v>
      </c>
      <c r="AG124" s="4">
        <v>332</v>
      </c>
      <c r="AH124" s="16">
        <v>498000</v>
      </c>
      <c r="AI124" s="4">
        <v>3</v>
      </c>
      <c r="AJ124" s="4">
        <v>0</v>
      </c>
      <c r="AK124" s="16">
        <v>0</v>
      </c>
      <c r="AL124" s="28">
        <v>0</v>
      </c>
      <c r="AM124" s="4"/>
      <c r="AN124" s="2" t="s">
        <v>106</v>
      </c>
      <c r="AO124" s="4">
        <v>2022</v>
      </c>
      <c r="AP124" s="4">
        <v>0</v>
      </c>
      <c r="AQ124" s="16">
        <v>0</v>
      </c>
      <c r="AR124" s="4">
        <v>0</v>
      </c>
      <c r="AS124" s="4"/>
      <c r="AT124" s="16"/>
      <c r="AU124" s="4">
        <v>0</v>
      </c>
      <c r="AV124" s="4">
        <v>0</v>
      </c>
      <c r="AW124" s="16">
        <v>0</v>
      </c>
      <c r="AX124" s="4">
        <v>0</v>
      </c>
      <c r="AY124" s="4">
        <v>429</v>
      </c>
      <c r="AZ124" s="16">
        <v>643500</v>
      </c>
      <c r="BA124" s="4">
        <v>5</v>
      </c>
      <c r="BB124" s="4">
        <v>0</v>
      </c>
      <c r="BC124" s="16">
        <v>0</v>
      </c>
      <c r="BD124" s="4">
        <v>0</v>
      </c>
      <c r="BE124" s="4"/>
      <c r="BF124" s="4">
        <f t="shared" si="59"/>
        <v>22.1</v>
      </c>
      <c r="BG124" s="16">
        <f t="shared" si="60"/>
        <v>47750</v>
      </c>
      <c r="BH124" s="4">
        <f t="shared" si="61"/>
        <v>4</v>
      </c>
      <c r="BI124" s="4">
        <f t="shared" si="62"/>
        <v>252.91</v>
      </c>
      <c r="BJ124" s="16">
        <f t="shared" si="63"/>
        <v>1249550</v>
      </c>
      <c r="BK124" s="4">
        <f t="shared" si="64"/>
        <v>56</v>
      </c>
      <c r="BL124" s="4">
        <f t="shared" si="65"/>
        <v>0</v>
      </c>
      <c r="BM124" s="16">
        <f t="shared" si="66"/>
        <v>0</v>
      </c>
      <c r="BN124" s="4">
        <f t="shared" si="67"/>
        <v>0</v>
      </c>
      <c r="BO124" s="4">
        <f t="shared" si="68"/>
        <v>1002</v>
      </c>
      <c r="BP124" s="16">
        <f t="shared" si="69"/>
        <v>1503000</v>
      </c>
      <c r="BQ124" s="4">
        <f t="shared" si="70"/>
        <v>9</v>
      </c>
      <c r="BR124" s="4">
        <f t="shared" si="71"/>
        <v>0</v>
      </c>
      <c r="BS124" s="16">
        <f t="shared" si="72"/>
        <v>0</v>
      </c>
      <c r="BT124" s="4">
        <f t="shared" si="73"/>
        <v>0</v>
      </c>
      <c r="BU124" s="4">
        <f t="shared" si="52"/>
        <v>1277.01</v>
      </c>
      <c r="BV124" s="16">
        <f t="shared" si="53"/>
        <v>2800300</v>
      </c>
      <c r="BW124" s="4">
        <f t="shared" si="54"/>
        <v>69</v>
      </c>
    </row>
    <row r="125" spans="1:75" x14ac:dyDescent="0.25">
      <c r="A125" s="2" t="s">
        <v>106</v>
      </c>
      <c r="B125" s="4">
        <v>2020</v>
      </c>
      <c r="C125" s="4">
        <v>0</v>
      </c>
      <c r="D125" s="4" t="str">
        <f t="shared" si="55"/>
        <v>$0.00</v>
      </c>
      <c r="E125" s="16">
        <v>0</v>
      </c>
      <c r="F125" s="4">
        <v>0</v>
      </c>
      <c r="G125" s="4">
        <v>0</v>
      </c>
      <c r="H125" s="4" t="str">
        <f t="shared" si="56"/>
        <v>$0.00</v>
      </c>
      <c r="I125" s="16">
        <v>0</v>
      </c>
      <c r="J125" s="4">
        <v>0</v>
      </c>
      <c r="K125" s="4">
        <v>0</v>
      </c>
      <c r="L125" s="4" t="str">
        <f t="shared" si="57"/>
        <v>$0.00</v>
      </c>
      <c r="M125" s="16">
        <v>0</v>
      </c>
      <c r="N125" s="4">
        <v>0</v>
      </c>
      <c r="O125" s="4">
        <v>0</v>
      </c>
      <c r="P125" s="4" t="str">
        <f t="shared" si="58"/>
        <v>$0.00</v>
      </c>
      <c r="Q125" s="16">
        <v>0</v>
      </c>
      <c r="R125" s="4">
        <v>0</v>
      </c>
      <c r="S125" s="4">
        <v>0</v>
      </c>
      <c r="T125" s="16">
        <v>0</v>
      </c>
      <c r="U125" s="4">
        <v>0</v>
      </c>
      <c r="V125" s="4" t="s">
        <v>108</v>
      </c>
      <c r="W125" s="4">
        <v>2021</v>
      </c>
      <c r="X125" s="4">
        <v>213</v>
      </c>
      <c r="Y125" s="16">
        <v>532500</v>
      </c>
      <c r="Z125" s="4">
        <v>5</v>
      </c>
      <c r="AA125" s="4">
        <v>6.2</v>
      </c>
      <c r="AB125" s="16">
        <v>211000</v>
      </c>
      <c r="AC125" s="4">
        <v>3</v>
      </c>
      <c r="AD125" s="4">
        <v>123</v>
      </c>
      <c r="AE125" s="16">
        <v>184500</v>
      </c>
      <c r="AF125" s="4">
        <v>17</v>
      </c>
      <c r="AG125" s="4">
        <v>2705.38</v>
      </c>
      <c r="AH125" s="16">
        <v>4058070</v>
      </c>
      <c r="AI125" s="4">
        <v>12</v>
      </c>
      <c r="AJ125" s="4">
        <v>0</v>
      </c>
      <c r="AK125" s="16">
        <v>0</v>
      </c>
      <c r="AL125" s="28">
        <v>0</v>
      </c>
      <c r="AM125" s="4"/>
      <c r="AN125" s="2" t="s">
        <v>107</v>
      </c>
      <c r="AO125" s="4">
        <v>2022</v>
      </c>
      <c r="AP125" s="4">
        <v>5</v>
      </c>
      <c r="AQ125" s="16">
        <v>12500</v>
      </c>
      <c r="AR125" s="4">
        <v>1</v>
      </c>
      <c r="AS125" s="4">
        <v>72.5</v>
      </c>
      <c r="AT125" s="16">
        <v>392500</v>
      </c>
      <c r="AU125" s="4">
        <v>17</v>
      </c>
      <c r="AV125" s="4">
        <v>0</v>
      </c>
      <c r="AW125" s="16">
        <v>0</v>
      </c>
      <c r="AX125" s="4">
        <v>0</v>
      </c>
      <c r="AY125" s="4">
        <v>356</v>
      </c>
      <c r="AZ125" s="16">
        <v>534000</v>
      </c>
      <c r="BA125" s="4">
        <v>4</v>
      </c>
      <c r="BB125" s="4">
        <v>0</v>
      </c>
      <c r="BC125" s="16">
        <v>0</v>
      </c>
      <c r="BD125" s="4">
        <v>0</v>
      </c>
      <c r="BE125" s="4"/>
      <c r="BF125" s="4">
        <f t="shared" si="59"/>
        <v>470.74</v>
      </c>
      <c r="BG125" s="16">
        <f t="shared" si="60"/>
        <v>1140830</v>
      </c>
      <c r="BH125" s="4">
        <f t="shared" si="61"/>
        <v>16</v>
      </c>
      <c r="BI125" s="4">
        <f t="shared" si="62"/>
        <v>7</v>
      </c>
      <c r="BJ125" s="16">
        <f t="shared" si="63"/>
        <v>215000</v>
      </c>
      <c r="BK125" s="4">
        <f t="shared" si="64"/>
        <v>4</v>
      </c>
      <c r="BL125" s="4">
        <f t="shared" si="65"/>
        <v>345</v>
      </c>
      <c r="BM125" s="16">
        <f t="shared" si="66"/>
        <v>517500</v>
      </c>
      <c r="BN125" s="4">
        <f t="shared" si="67"/>
        <v>43</v>
      </c>
      <c r="BO125" s="4">
        <f t="shared" si="68"/>
        <v>7981.14</v>
      </c>
      <c r="BP125" s="16">
        <f t="shared" si="69"/>
        <v>11971710</v>
      </c>
      <c r="BQ125" s="4">
        <f t="shared" si="70"/>
        <v>36</v>
      </c>
      <c r="BR125" s="4">
        <f t="shared" si="71"/>
        <v>0</v>
      </c>
      <c r="BS125" s="16">
        <f t="shared" si="72"/>
        <v>0</v>
      </c>
      <c r="BT125" s="4">
        <f t="shared" si="73"/>
        <v>0</v>
      </c>
      <c r="BU125" s="4">
        <f t="shared" si="52"/>
        <v>8803.880000000001</v>
      </c>
      <c r="BV125" s="16">
        <f t="shared" si="53"/>
        <v>13845040</v>
      </c>
      <c r="BW125" s="4">
        <f t="shared" si="54"/>
        <v>99</v>
      </c>
    </row>
    <row r="126" spans="1:75" x14ac:dyDescent="0.25">
      <c r="A126" s="2" t="s">
        <v>107</v>
      </c>
      <c r="B126" s="4">
        <v>2020</v>
      </c>
      <c r="C126" s="4">
        <v>15</v>
      </c>
      <c r="D126" s="4" t="str">
        <f t="shared" si="55"/>
        <v>$30,000.00</v>
      </c>
      <c r="E126" s="16">
        <v>30000</v>
      </c>
      <c r="F126" s="4">
        <v>2</v>
      </c>
      <c r="G126" s="4">
        <v>64.599999999999994</v>
      </c>
      <c r="H126" s="4" t="str">
        <f t="shared" si="56"/>
        <v>$323,000.00</v>
      </c>
      <c r="I126" s="16">
        <v>323000</v>
      </c>
      <c r="J126" s="4">
        <v>12</v>
      </c>
      <c r="K126" s="4">
        <v>0</v>
      </c>
      <c r="L126" s="4" t="str">
        <f t="shared" si="57"/>
        <v>$0.00</v>
      </c>
      <c r="M126" s="16">
        <v>0</v>
      </c>
      <c r="N126" s="4">
        <v>0</v>
      </c>
      <c r="O126" s="4">
        <v>314</v>
      </c>
      <c r="P126" s="4" t="str">
        <f t="shared" si="58"/>
        <v>$471,000.00</v>
      </c>
      <c r="Q126" s="16">
        <v>471000</v>
      </c>
      <c r="R126" s="4">
        <v>2</v>
      </c>
      <c r="S126" s="4">
        <v>0</v>
      </c>
      <c r="T126" s="16">
        <v>0</v>
      </c>
      <c r="U126" s="4">
        <v>0</v>
      </c>
      <c r="V126" s="5" t="s">
        <v>139</v>
      </c>
      <c r="W126" s="4">
        <v>2021</v>
      </c>
      <c r="X126" s="4">
        <v>0</v>
      </c>
      <c r="Y126" s="16">
        <v>0</v>
      </c>
      <c r="Z126" s="4">
        <v>0</v>
      </c>
      <c r="AA126" s="4">
        <v>34.200000000000003</v>
      </c>
      <c r="AB126" s="16">
        <v>171000</v>
      </c>
      <c r="AC126" s="4">
        <v>15</v>
      </c>
      <c r="AD126" s="4">
        <v>0</v>
      </c>
      <c r="AE126" s="16">
        <v>0</v>
      </c>
      <c r="AF126" s="4">
        <v>0</v>
      </c>
      <c r="AG126" s="4">
        <v>0</v>
      </c>
      <c r="AH126" s="16">
        <v>0</v>
      </c>
      <c r="AI126" s="4">
        <v>0</v>
      </c>
      <c r="AJ126" s="4">
        <v>0</v>
      </c>
      <c r="AK126" s="16">
        <v>0</v>
      </c>
      <c r="AL126" s="28">
        <v>0</v>
      </c>
      <c r="AM126" s="4"/>
      <c r="AN126" s="2" t="s">
        <v>108</v>
      </c>
      <c r="AO126" s="4">
        <v>2022</v>
      </c>
      <c r="AP126" s="4">
        <v>140.69999999999999</v>
      </c>
      <c r="AQ126" s="16">
        <v>351750</v>
      </c>
      <c r="AR126" s="4">
        <v>6</v>
      </c>
      <c r="AS126" s="4">
        <v>0.8</v>
      </c>
      <c r="AT126" s="16">
        <v>4000</v>
      </c>
      <c r="AU126" s="4">
        <v>1</v>
      </c>
      <c r="AV126" s="4">
        <v>96</v>
      </c>
      <c r="AW126" s="16">
        <v>144000</v>
      </c>
      <c r="AX126" s="4">
        <v>8</v>
      </c>
      <c r="AY126" s="4">
        <v>2615.38</v>
      </c>
      <c r="AZ126" s="16">
        <v>3923070</v>
      </c>
      <c r="BA126" s="4">
        <v>13</v>
      </c>
      <c r="BB126" s="4">
        <v>0</v>
      </c>
      <c r="BC126" s="16">
        <v>0</v>
      </c>
      <c r="BD126" s="4">
        <v>0</v>
      </c>
      <c r="BE126" s="4"/>
      <c r="BF126" s="4">
        <f t="shared" si="59"/>
        <v>0</v>
      </c>
      <c r="BG126" s="16">
        <f t="shared" si="60"/>
        <v>0</v>
      </c>
      <c r="BH126" s="4">
        <f t="shared" si="61"/>
        <v>0</v>
      </c>
      <c r="BI126" s="4">
        <f t="shared" si="62"/>
        <v>58.44</v>
      </c>
      <c r="BJ126" s="16">
        <f t="shared" si="63"/>
        <v>292200</v>
      </c>
      <c r="BK126" s="4">
        <f t="shared" si="64"/>
        <v>28</v>
      </c>
      <c r="BL126" s="4">
        <f t="shared" si="65"/>
        <v>0</v>
      </c>
      <c r="BM126" s="16">
        <f t="shared" si="66"/>
        <v>0</v>
      </c>
      <c r="BN126" s="4">
        <f t="shared" si="67"/>
        <v>0</v>
      </c>
      <c r="BO126" s="4">
        <f t="shared" si="68"/>
        <v>0</v>
      </c>
      <c r="BP126" s="16">
        <f t="shared" si="69"/>
        <v>0</v>
      </c>
      <c r="BQ126" s="4">
        <f t="shared" si="70"/>
        <v>0</v>
      </c>
      <c r="BR126" s="4">
        <f t="shared" si="71"/>
        <v>0</v>
      </c>
      <c r="BS126" s="16">
        <f t="shared" si="72"/>
        <v>0</v>
      </c>
      <c r="BT126" s="4">
        <f t="shared" si="73"/>
        <v>0</v>
      </c>
      <c r="BU126" s="4">
        <f t="shared" si="52"/>
        <v>58.44</v>
      </c>
      <c r="BV126" s="16">
        <f t="shared" si="53"/>
        <v>292200</v>
      </c>
      <c r="BW126" s="4">
        <f t="shared" si="54"/>
        <v>28</v>
      </c>
    </row>
    <row r="127" spans="1:75" x14ac:dyDescent="0.25">
      <c r="A127" s="2" t="s">
        <v>108</v>
      </c>
      <c r="B127" s="4">
        <v>2020</v>
      </c>
      <c r="C127" s="4">
        <v>117.04</v>
      </c>
      <c r="D127" s="4" t="str">
        <f t="shared" si="55"/>
        <v>$256,580.00</v>
      </c>
      <c r="E127" s="16">
        <v>256580</v>
      </c>
      <c r="F127" s="4">
        <v>5</v>
      </c>
      <c r="G127" s="4">
        <v>0</v>
      </c>
      <c r="H127" s="4" t="str">
        <f t="shared" si="56"/>
        <v>$0.00</v>
      </c>
      <c r="I127" s="16">
        <v>0</v>
      </c>
      <c r="J127" s="4">
        <v>0</v>
      </c>
      <c r="K127" s="4">
        <v>126</v>
      </c>
      <c r="L127" s="4" t="str">
        <f t="shared" si="57"/>
        <v>$189,000.00</v>
      </c>
      <c r="M127" s="16">
        <v>189000</v>
      </c>
      <c r="N127" s="4">
        <v>18</v>
      </c>
      <c r="O127" s="4">
        <v>2660.38</v>
      </c>
      <c r="P127" s="4" t="str">
        <f t="shared" si="58"/>
        <v>$3,990,570.00</v>
      </c>
      <c r="Q127" s="16">
        <v>3990570</v>
      </c>
      <c r="R127" s="4">
        <v>11</v>
      </c>
      <c r="S127" s="4">
        <v>0</v>
      </c>
      <c r="T127" s="16">
        <v>0</v>
      </c>
      <c r="U127" s="4">
        <v>0</v>
      </c>
      <c r="V127" s="5" t="s">
        <v>118</v>
      </c>
      <c r="W127" s="4">
        <v>2021</v>
      </c>
      <c r="X127" s="4">
        <v>41.65</v>
      </c>
      <c r="Y127" s="16">
        <v>104125</v>
      </c>
      <c r="Z127" s="4">
        <v>1</v>
      </c>
      <c r="AA127" s="4">
        <v>6</v>
      </c>
      <c r="AB127" s="16">
        <v>30000</v>
      </c>
      <c r="AC127" s="4">
        <v>1</v>
      </c>
      <c r="AD127" s="4">
        <v>51</v>
      </c>
      <c r="AE127" s="16">
        <v>76500</v>
      </c>
      <c r="AF127" s="4">
        <v>1</v>
      </c>
      <c r="AG127" s="4">
        <v>30</v>
      </c>
      <c r="AH127" s="16">
        <v>45000</v>
      </c>
      <c r="AI127" s="4">
        <v>1</v>
      </c>
      <c r="AJ127" s="4">
        <v>0</v>
      </c>
      <c r="AK127" s="16">
        <v>0</v>
      </c>
      <c r="AL127" s="28">
        <v>0</v>
      </c>
      <c r="AM127" s="4"/>
      <c r="AN127" s="2" t="s">
        <v>139</v>
      </c>
      <c r="AO127" s="4">
        <v>2022</v>
      </c>
      <c r="AP127" s="4">
        <v>0</v>
      </c>
      <c r="AQ127" s="16">
        <v>0</v>
      </c>
      <c r="AR127" s="4">
        <v>0</v>
      </c>
      <c r="AS127" s="4">
        <v>6.5</v>
      </c>
      <c r="AT127" s="16">
        <v>32500</v>
      </c>
      <c r="AU127" s="4">
        <v>3</v>
      </c>
      <c r="AV127" s="4">
        <v>0</v>
      </c>
      <c r="AW127" s="16">
        <v>0</v>
      </c>
      <c r="AX127" s="4">
        <v>0</v>
      </c>
      <c r="AY127" s="4">
        <v>0</v>
      </c>
      <c r="AZ127" s="16">
        <v>0</v>
      </c>
      <c r="BA127" s="4">
        <v>0</v>
      </c>
      <c r="BB127" s="4">
        <v>0</v>
      </c>
      <c r="BC127" s="16">
        <v>0</v>
      </c>
      <c r="BD127" s="4">
        <v>0</v>
      </c>
      <c r="BE127" s="4"/>
      <c r="BF127" s="4">
        <f t="shared" si="59"/>
        <v>41.65</v>
      </c>
      <c r="BG127" s="16">
        <f t="shared" si="60"/>
        <v>104125</v>
      </c>
      <c r="BH127" s="4">
        <f t="shared" si="61"/>
        <v>1</v>
      </c>
      <c r="BI127" s="4">
        <f t="shared" si="62"/>
        <v>6</v>
      </c>
      <c r="BJ127" s="16">
        <f t="shared" si="63"/>
        <v>30000</v>
      </c>
      <c r="BK127" s="4">
        <f t="shared" si="64"/>
        <v>1</v>
      </c>
      <c r="BL127" s="4">
        <f t="shared" si="65"/>
        <v>94</v>
      </c>
      <c r="BM127" s="16">
        <f t="shared" si="66"/>
        <v>141000</v>
      </c>
      <c r="BN127" s="4">
        <f t="shared" si="67"/>
        <v>2</v>
      </c>
      <c r="BO127" s="4">
        <f t="shared" si="68"/>
        <v>94</v>
      </c>
      <c r="BP127" s="16">
        <f t="shared" si="69"/>
        <v>141000</v>
      </c>
      <c r="BQ127" s="4">
        <f t="shared" si="70"/>
        <v>2</v>
      </c>
      <c r="BR127" s="4">
        <f t="shared" si="71"/>
        <v>0</v>
      </c>
      <c r="BS127" s="16">
        <f t="shared" si="72"/>
        <v>0</v>
      </c>
      <c r="BT127" s="4">
        <f t="shared" si="73"/>
        <v>0</v>
      </c>
      <c r="BU127" s="4">
        <f t="shared" si="52"/>
        <v>235.65</v>
      </c>
      <c r="BV127" s="16">
        <f t="shared" si="53"/>
        <v>416125</v>
      </c>
      <c r="BW127" s="4">
        <f t="shared" si="54"/>
        <v>6</v>
      </c>
    </row>
    <row r="128" spans="1:75" x14ac:dyDescent="0.25">
      <c r="A128" s="2" t="s">
        <v>139</v>
      </c>
      <c r="B128" s="4">
        <v>2020</v>
      </c>
      <c r="C128" s="4">
        <v>0</v>
      </c>
      <c r="D128" s="4" t="str">
        <f t="shared" si="55"/>
        <v>$0.00</v>
      </c>
      <c r="E128" s="16">
        <v>0</v>
      </c>
      <c r="F128" s="4">
        <v>0</v>
      </c>
      <c r="G128" s="4">
        <v>17.739999999999998</v>
      </c>
      <c r="H128" s="4" t="str">
        <f t="shared" si="56"/>
        <v>$88,700.00</v>
      </c>
      <c r="I128" s="16">
        <v>88700</v>
      </c>
      <c r="J128" s="4">
        <v>10</v>
      </c>
      <c r="K128" s="4">
        <v>0</v>
      </c>
      <c r="L128" s="4" t="str">
        <f t="shared" si="57"/>
        <v>$0.00</v>
      </c>
      <c r="M128" s="16">
        <v>0</v>
      </c>
      <c r="N128" s="4">
        <v>0</v>
      </c>
      <c r="O128" s="4">
        <v>0</v>
      </c>
      <c r="P128" s="4" t="str">
        <f t="shared" si="58"/>
        <v>$0.00</v>
      </c>
      <c r="Q128" s="16">
        <v>0</v>
      </c>
      <c r="R128" s="4">
        <v>0</v>
      </c>
      <c r="S128" s="4">
        <v>0</v>
      </c>
      <c r="T128" s="16">
        <v>0</v>
      </c>
      <c r="U128" s="4">
        <v>0</v>
      </c>
      <c r="W128" s="5">
        <f t="shared" ref="W128" si="74">SUM(W3:W127)</f>
        <v>252625</v>
      </c>
      <c r="X128" s="53">
        <f t="shared" ref="X128" si="75">SUM(X3:X127)</f>
        <v>3876.8400000000011</v>
      </c>
      <c r="Y128" s="17">
        <f t="shared" ref="Y128" si="76">SUM(Y3:Y127)</f>
        <v>9692100</v>
      </c>
      <c r="Z128" s="5">
        <f t="shared" ref="Z128" si="77">SUM(Z3:Z127)</f>
        <v>203</v>
      </c>
      <c r="AA128" s="5">
        <f t="shared" ref="AA128" si="78">SUM(AA3:AA127)</f>
        <v>1427.2299999999998</v>
      </c>
      <c r="AB128" s="17">
        <f t="shared" ref="AB128" si="79">SUM(AB3:AB127)</f>
        <v>8387900</v>
      </c>
      <c r="AC128" s="5">
        <f t="shared" ref="AC128" si="80">SUM(AC3:AC127)</f>
        <v>426</v>
      </c>
      <c r="AD128" s="5">
        <f t="shared" ref="AD128" si="81">SUM(AD3:AD127)</f>
        <v>6000</v>
      </c>
      <c r="AE128" s="17">
        <f t="shared" ref="AE128" si="82">SUM(AE3:AE127)</f>
        <v>9000000</v>
      </c>
      <c r="AF128" s="5">
        <f t="shared" ref="AF128" si="83">SUM(AF3:AF127)</f>
        <v>536</v>
      </c>
      <c r="AG128" s="5">
        <f t="shared" ref="AG128" si="84">SUM(AG3:AG127)</f>
        <v>76573.35000000002</v>
      </c>
      <c r="AH128" s="17">
        <f t="shared" ref="AH128" si="85">SUM(AH3:AH127)</f>
        <v>114860025</v>
      </c>
      <c r="AI128" s="5">
        <f t="shared" ref="AI128" si="86">SUM(AI3:AI127)</f>
        <v>581</v>
      </c>
      <c r="AJ128" s="5">
        <f t="shared" ref="AJ128" si="87">SUM(AJ3:AJ127)</f>
        <v>60</v>
      </c>
      <c r="AK128" s="17">
        <f t="shared" ref="AK128" si="88">SUM(AK3:AK127)</f>
        <v>3878671</v>
      </c>
      <c r="AL128" s="5">
        <f t="shared" ref="AL128" si="89">SUM(AL3:AL127)</f>
        <v>60</v>
      </c>
      <c r="AN128" s="25" t="s">
        <v>118</v>
      </c>
      <c r="AO128" s="26">
        <v>2022</v>
      </c>
      <c r="AP128" s="26">
        <v>0</v>
      </c>
      <c r="AQ128" s="27">
        <v>0</v>
      </c>
      <c r="AR128" s="26">
        <v>0</v>
      </c>
      <c r="AS128" s="26"/>
      <c r="AT128" s="27"/>
      <c r="AU128" s="26">
        <v>0</v>
      </c>
      <c r="AV128" s="26">
        <v>43</v>
      </c>
      <c r="AW128" s="27">
        <v>64500</v>
      </c>
      <c r="AX128" s="26">
        <v>1</v>
      </c>
      <c r="AY128" s="26">
        <v>64</v>
      </c>
      <c r="AZ128" s="27">
        <v>96000</v>
      </c>
      <c r="BA128" s="26">
        <v>1</v>
      </c>
      <c r="BB128" s="26">
        <v>0</v>
      </c>
      <c r="BC128" s="27">
        <v>0</v>
      </c>
      <c r="BD128" s="26">
        <v>0</v>
      </c>
    </row>
    <row r="129" spans="1:56" x14ac:dyDescent="0.25">
      <c r="A129" s="25" t="s">
        <v>118</v>
      </c>
      <c r="B129" s="26">
        <v>2020</v>
      </c>
      <c r="C129" s="26">
        <v>0</v>
      </c>
      <c r="D129" s="26" t="str">
        <f t="shared" si="55"/>
        <v>$0.00</v>
      </c>
      <c r="E129" s="27">
        <v>0</v>
      </c>
      <c r="F129" s="26">
        <v>0</v>
      </c>
      <c r="G129" s="26">
        <v>0</v>
      </c>
      <c r="H129" s="26" t="str">
        <f t="shared" si="56"/>
        <v>$0.00</v>
      </c>
      <c r="I129" s="27">
        <v>0</v>
      </c>
      <c r="J129" s="26">
        <v>0</v>
      </c>
      <c r="K129" s="26">
        <v>0</v>
      </c>
      <c r="L129" s="26" t="str">
        <f t="shared" si="57"/>
        <v>$0.00</v>
      </c>
      <c r="M129" s="27">
        <v>0</v>
      </c>
      <c r="N129" s="26">
        <v>0</v>
      </c>
      <c r="O129" s="26">
        <v>0</v>
      </c>
      <c r="P129" s="26" t="str">
        <f t="shared" si="58"/>
        <v>$0.00</v>
      </c>
      <c r="Q129" s="27">
        <v>0</v>
      </c>
      <c r="R129" s="26">
        <v>0</v>
      </c>
      <c r="S129" s="26">
        <v>0</v>
      </c>
      <c r="T129" s="27">
        <v>0</v>
      </c>
      <c r="U129" s="26">
        <v>0</v>
      </c>
      <c r="AP129" s="5">
        <f t="shared" ref="AP129" si="90">SUM(AP4:AP128)</f>
        <v>3796.5099999999993</v>
      </c>
      <c r="AQ129" s="17">
        <f t="shared" ref="AQ129" si="91">SUM(AQ4:AQ128)</f>
        <v>9491275</v>
      </c>
      <c r="AR129" s="5">
        <f t="shared" ref="AR129" si="92">SUM(AR4:AR128)</f>
        <v>217</v>
      </c>
      <c r="AS129" s="5">
        <f t="shared" ref="AS129" si="93">SUM(AS4:AS128)</f>
        <v>412.25</v>
      </c>
      <c r="AT129" s="17">
        <f t="shared" ref="AT129" si="94">SUM(AT4:AT128)</f>
        <v>2188750</v>
      </c>
      <c r="AU129" s="5">
        <f t="shared" ref="AU129" si="95">SUM(AU4:AU128)</f>
        <v>73</v>
      </c>
      <c r="AV129" s="5">
        <f t="shared" ref="AV129" si="96">SUM(AV4:AV128)</f>
        <v>6001</v>
      </c>
      <c r="AW129" s="17">
        <f t="shared" ref="AW129" si="97">SUM(AW4:AW128)</f>
        <v>9001500</v>
      </c>
      <c r="AX129" s="5">
        <f t="shared" ref="AX129" si="98">SUM(AX4:AX128)</f>
        <v>486</v>
      </c>
      <c r="AY129" s="5">
        <f t="shared" ref="AY129" si="99">SUM(AY4:AY128)</f>
        <v>80459.400000000023</v>
      </c>
      <c r="AZ129" s="17">
        <f t="shared" ref="AZ129" si="100">SUM(AZ4:AZ128)</f>
        <v>120689100</v>
      </c>
      <c r="BA129" s="5">
        <f t="shared" ref="BA129" si="101">SUM(BA4:BA128)</f>
        <v>576</v>
      </c>
      <c r="BB129" s="5">
        <f t="shared" ref="BB129" si="102">SUM(BB4:BB128)</f>
        <v>51</v>
      </c>
      <c r="BC129" s="17">
        <f t="shared" ref="BC129" si="103">SUM(BC4:BC128)</f>
        <v>3875000</v>
      </c>
      <c r="BD129" s="5">
        <f t="shared" ref="BD129" si="104">SUM(BD4:BD128)</f>
        <v>51</v>
      </c>
    </row>
    <row r="130" spans="1:56" x14ac:dyDescent="0.25">
      <c r="C130" s="5">
        <f t="shared" ref="C130" si="105">SUM(C5:C129)</f>
        <v>4078.119999999999</v>
      </c>
      <c r="E130" s="17">
        <f t="shared" ref="E130" si="106">SUM(E5:E129)</f>
        <v>9139610</v>
      </c>
      <c r="F130" s="5">
        <f t="shared" ref="F130" si="107">SUM(F5:F129)</f>
        <v>210</v>
      </c>
      <c r="G130" s="5">
        <f t="shared" ref="G130" si="108">SUM(G5:G129)</f>
        <v>1413.56</v>
      </c>
      <c r="I130" s="17">
        <f t="shared" ref="I130" si="109">SUM(I5:I129)</f>
        <v>7067800</v>
      </c>
      <c r="J130" s="5">
        <f t="shared" ref="J130" si="110">SUM(J5:J129)</f>
        <v>272</v>
      </c>
      <c r="K130" s="5">
        <f t="shared" ref="K130" si="111">SUM(K5:K129)</f>
        <v>6000</v>
      </c>
      <c r="M130" s="17">
        <f t="shared" ref="M130" si="112">SUM(M5:M129)</f>
        <v>9000000</v>
      </c>
      <c r="N130" s="5">
        <f t="shared" ref="N130" si="113">SUM(N5:N129)</f>
        <v>523</v>
      </c>
      <c r="O130" s="5">
        <f t="shared" ref="O130:P130" si="114">SUM(O5:O129)</f>
        <v>60887.000000000007</v>
      </c>
      <c r="P130" s="5">
        <f t="shared" si="114"/>
        <v>0</v>
      </c>
      <c r="Q130" s="50">
        <f t="shared" ref="Q130" si="115">SUM(Q5:Q129)</f>
        <v>91330500</v>
      </c>
      <c r="R130" s="5">
        <f t="shared" ref="R130" si="116">SUM(R5:R129)</f>
        <v>441</v>
      </c>
      <c r="S130" s="5">
        <f t="shared" ref="S130" si="117">SUM(S5:S129)</f>
        <v>60</v>
      </c>
      <c r="T130" s="17">
        <f t="shared" ref="T130" si="118">SUM(T5:T129)</f>
        <v>4073671</v>
      </c>
      <c r="U130" s="5">
        <f t="shared" ref="U130" si="119">SUM(U5:U129)</f>
        <v>60</v>
      </c>
      <c r="V130" s="5" t="s">
        <v>189</v>
      </c>
    </row>
    <row r="131" spans="1:56" x14ac:dyDescent="0.25">
      <c r="A131" s="3" t="s">
        <v>181</v>
      </c>
      <c r="AN131" s="3" t="s">
        <v>191</v>
      </c>
    </row>
  </sheetData>
  <phoneticPr fontId="5" type="noConversion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FICHAS MUNICIPIOS</vt:lpstr>
      <vt:lpstr>base</vt:lpstr>
      <vt:lpstr>'FICHAS MUNICIPIOS'!Área_de_impresión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VICENTE FLORENCIO VASQUEZ CORTEZ</cp:lastModifiedBy>
  <cp:lastPrinted>2023-09-07T18:17:51Z</cp:lastPrinted>
  <dcterms:created xsi:type="dcterms:W3CDTF">2023-09-05T21:36:17Z</dcterms:created>
  <dcterms:modified xsi:type="dcterms:W3CDTF">2023-09-12T00:10:20Z</dcterms:modified>
</cp:coreProperties>
</file>